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a7d06558896c25/Documents/PCC/PCC 2020/Sept 2020/"/>
    </mc:Choice>
  </mc:AlternateContent>
  <xr:revisionPtr revIDLastSave="0" documentId="8_{B325F38F-92DC-43CB-ABF6-B5DA0A858928}" xr6:coauthVersionLast="45" xr6:coauthVersionMax="45" xr10:uidLastSave="{00000000-0000-0000-0000-000000000000}"/>
  <bookViews>
    <workbookView xWindow="-120" yWindow="-120" windowWidth="21840" windowHeight="13140" tabRatio="307" firstSheet="1" activeTab="3" xr2:uid="{00000000-000D-0000-FFFF-FFFF00000000}"/>
  </bookViews>
  <sheets>
    <sheet name="2017" sheetId="8" state="hidden" r:id="rId1"/>
    <sheet name="Q4" sheetId="10" r:id="rId2"/>
    <sheet name="Q3" sheetId="7" r:id="rId3"/>
    <sheet name="Q2" sheetId="6" r:id="rId4"/>
    <sheet name="Q1" sheetId="4" r:id="rId5"/>
    <sheet name="2020" sheetId="1" r:id="rId6"/>
    <sheet name="Qrtly" sheetId="3" r:id="rId7"/>
    <sheet name="Sheet1" sheetId="9" r:id="rId8"/>
  </sheets>
  <definedNames>
    <definedName name="_xlnm.Print_Area" localSheetId="0">'2017'!$A$1:$E$59</definedName>
    <definedName name="_xlnm.Print_Area" localSheetId="4">'Q1'!$A$1:$G$114</definedName>
    <definedName name="_xlnm.Print_Area" localSheetId="6">Qrtly!$A$1:$G$58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6" l="1"/>
  <c r="C111" i="6"/>
  <c r="C100" i="6" l="1"/>
  <c r="C93" i="6"/>
  <c r="C86" i="6"/>
  <c r="C79" i="6"/>
  <c r="C77" i="6"/>
  <c r="C73" i="6"/>
  <c r="C71" i="6"/>
  <c r="C69" i="6"/>
  <c r="C67" i="6" l="1"/>
  <c r="B114" i="6"/>
  <c r="B112" i="6"/>
  <c r="B111" i="6"/>
  <c r="B100" i="6"/>
  <c r="B99" i="6"/>
  <c r="B98" i="6"/>
  <c r="B97" i="6"/>
  <c r="B95" i="6"/>
  <c r="B93" i="6"/>
  <c r="B92" i="6"/>
  <c r="B71" i="6"/>
  <c r="B86" i="6"/>
  <c r="B84" i="6"/>
  <c r="B83" i="6"/>
  <c r="B82" i="6"/>
  <c r="B81" i="6"/>
  <c r="B79" i="6"/>
  <c r="B75" i="6"/>
  <c r="B77" i="6"/>
  <c r="B73" i="6"/>
  <c r="J6" i="3"/>
  <c r="B69" i="6" s="1"/>
  <c r="B70" i="6"/>
  <c r="B68" i="6"/>
  <c r="G116" i="6"/>
  <c r="G111" i="6"/>
  <c r="G100" i="6"/>
  <c r="G99" i="6"/>
  <c r="G98" i="6"/>
  <c r="G95" i="6"/>
  <c r="G93" i="6"/>
  <c r="G92" i="6"/>
  <c r="G84" i="6"/>
  <c r="G82" i="6"/>
  <c r="G81" i="6"/>
  <c r="G77" i="6"/>
  <c r="G73" i="6"/>
  <c r="G71" i="6"/>
  <c r="G69" i="6"/>
  <c r="G68" i="6"/>
  <c r="G67" i="6"/>
  <c r="B45" i="6" l="1"/>
  <c r="C112" i="6"/>
  <c r="I15" i="3"/>
  <c r="G18" i="6"/>
  <c r="G16" i="6"/>
  <c r="G45" i="10"/>
  <c r="G43" i="10"/>
  <c r="G47" i="10" s="1"/>
  <c r="G37" i="10"/>
  <c r="G35" i="10"/>
  <c r="G38" i="10" s="1"/>
  <c r="G45" i="7"/>
  <c r="G43" i="7"/>
  <c r="G37" i="7"/>
  <c r="G35" i="7"/>
  <c r="G38" i="7" s="1"/>
  <c r="G45" i="6"/>
  <c r="G44" i="6"/>
  <c r="G43" i="6"/>
  <c r="G41" i="6"/>
  <c r="G40" i="6"/>
  <c r="G36" i="6"/>
  <c r="G35" i="6"/>
  <c r="G33" i="6"/>
  <c r="G32" i="6"/>
  <c r="G30" i="6"/>
  <c r="G115" i="7"/>
  <c r="G110" i="7"/>
  <c r="G115" i="10"/>
  <c r="G118" i="10" s="1"/>
  <c r="G116" i="10"/>
  <c r="G114" i="10"/>
  <c r="G113" i="10"/>
  <c r="G90" i="10"/>
  <c r="G89" i="10"/>
  <c r="G88" i="10"/>
  <c r="G87" i="10"/>
  <c r="G86" i="10"/>
  <c r="G85" i="10"/>
  <c r="G84" i="10"/>
  <c r="G83" i="10"/>
  <c r="G110" i="10"/>
  <c r="G102" i="10"/>
  <c r="G101" i="10"/>
  <c r="G100" i="10"/>
  <c r="G99" i="10"/>
  <c r="G97" i="10"/>
  <c r="G96" i="10"/>
  <c r="G95" i="10"/>
  <c r="G94" i="10"/>
  <c r="G98" i="10" s="1"/>
  <c r="G81" i="10"/>
  <c r="G80" i="10"/>
  <c r="G78" i="10"/>
  <c r="G76" i="10"/>
  <c r="G74" i="10"/>
  <c r="G73" i="10"/>
  <c r="G72" i="10"/>
  <c r="G71" i="10"/>
  <c r="G70" i="10"/>
  <c r="G69" i="10"/>
  <c r="C98" i="7"/>
  <c r="G83" i="4"/>
  <c r="G65" i="4"/>
  <c r="G47" i="7" l="1"/>
  <c r="B5" i="3"/>
  <c r="B38" i="4" l="1"/>
  <c r="C93" i="4"/>
  <c r="B11" i="3"/>
  <c r="B77" i="4"/>
  <c r="N44" i="1" l="1"/>
  <c r="N30" i="1"/>
  <c r="L10" i="1"/>
  <c r="C109" i="4" l="1"/>
  <c r="G46" i="4" l="1"/>
  <c r="B47" i="4"/>
  <c r="C110" i="4"/>
  <c r="C78" i="4"/>
  <c r="C76" i="4"/>
  <c r="C68" i="4"/>
  <c r="C66" i="4"/>
  <c r="C72" i="4"/>
  <c r="C70" i="4"/>
  <c r="C80" i="4"/>
  <c r="C98" i="4"/>
  <c r="C91" i="4"/>
  <c r="B34" i="3"/>
  <c r="B15" i="3"/>
  <c r="G11" i="3"/>
  <c r="B20" i="3"/>
  <c r="L18" i="1" s="1"/>
  <c r="B38" i="3"/>
  <c r="B39" i="3"/>
  <c r="L40" i="1" s="1"/>
  <c r="L42" i="1"/>
  <c r="L36" i="1"/>
  <c r="L33" i="1"/>
  <c r="L25" i="1"/>
  <c r="L20" i="1"/>
  <c r="L13" i="1"/>
  <c r="L12" i="1"/>
  <c r="L6" i="1"/>
  <c r="L4" i="1"/>
  <c r="B4" i="3"/>
  <c r="B9" i="3" l="1"/>
  <c r="F39" i="3"/>
  <c r="G38" i="4" l="1"/>
  <c r="K86" i="1" l="1"/>
  <c r="K72" i="1" l="1"/>
  <c r="K23" i="1"/>
  <c r="L41" i="1" l="1"/>
  <c r="L23" i="1"/>
  <c r="L8" i="1"/>
  <c r="K76" i="1"/>
  <c r="K79" i="1"/>
  <c r="K58" i="1"/>
  <c r="K38" i="1" l="1"/>
  <c r="K32" i="1"/>
  <c r="B45" i="10" l="1"/>
  <c r="B46" i="10"/>
  <c r="B37" i="10" l="1"/>
  <c r="D97" i="10" l="1"/>
  <c r="D101" i="10"/>
  <c r="D95" i="10"/>
  <c r="D90" i="10"/>
  <c r="D89" i="10"/>
  <c r="D117" i="10"/>
  <c r="D116" i="10"/>
  <c r="C18" i="10"/>
  <c r="C110" i="10"/>
  <c r="D110" i="10" s="1"/>
  <c r="D109" i="10"/>
  <c r="D108" i="10"/>
  <c r="D100" i="10"/>
  <c r="D99" i="10"/>
  <c r="G104" i="10"/>
  <c r="G8" i="10" s="1"/>
  <c r="D96" i="10"/>
  <c r="D92" i="10"/>
  <c r="D87" i="10"/>
  <c r="D85" i="10"/>
  <c r="D84" i="10"/>
  <c r="G82" i="10"/>
  <c r="G75" i="10"/>
  <c r="B43" i="10"/>
  <c r="B34" i="10"/>
  <c r="B33" i="10"/>
  <c r="B35" i="10" s="1"/>
  <c r="C16" i="10"/>
  <c r="B16" i="10"/>
  <c r="D16" i="10" l="1"/>
  <c r="B47" i="10"/>
  <c r="C75" i="10"/>
  <c r="B98" i="10"/>
  <c r="D113" i="10"/>
  <c r="C98" i="10"/>
  <c r="C104" i="10" s="1"/>
  <c r="D114" i="10"/>
  <c r="G91" i="10"/>
  <c r="D83" i="10"/>
  <c r="D86" i="10"/>
  <c r="D88" i="10"/>
  <c r="D102" i="10"/>
  <c r="C20" i="10"/>
  <c r="B18" i="10"/>
  <c r="B20" i="10" s="1"/>
  <c r="D20" i="10" s="1"/>
  <c r="D94" i="10"/>
  <c r="C82" i="10"/>
  <c r="B45" i="7"/>
  <c r="B41" i="7"/>
  <c r="B42" i="7"/>
  <c r="G107" i="10" l="1"/>
  <c r="G111" i="10" s="1"/>
  <c r="G10" i="10"/>
  <c r="D98" i="10"/>
  <c r="B8" i="10"/>
  <c r="D18" i="10"/>
  <c r="C91" i="10"/>
  <c r="C107" i="10" s="1"/>
  <c r="C111" i="10" l="1"/>
  <c r="B10" i="10"/>
  <c r="G118" i="7"/>
  <c r="B36" i="10" l="1"/>
  <c r="B38" i="10" s="1"/>
  <c r="B12" i="10"/>
  <c r="A3" i="6"/>
  <c r="B33" i="7"/>
  <c r="B34" i="7"/>
  <c r="B16" i="7"/>
  <c r="G83" i="7"/>
  <c r="D96" i="7"/>
  <c r="B18" i="7" l="1"/>
  <c r="G75" i="7"/>
  <c r="G91" i="7" s="1"/>
  <c r="G104" i="7"/>
  <c r="C75" i="7"/>
  <c r="B46" i="7"/>
  <c r="B43" i="7"/>
  <c r="B47" i="7" s="1"/>
  <c r="G107" i="7" l="1"/>
  <c r="G111" i="7" s="1"/>
  <c r="B37" i="7"/>
  <c r="A94" i="6" l="1"/>
  <c r="B108" i="6" l="1"/>
  <c r="A69" i="6"/>
  <c r="J4" i="3" l="1"/>
  <c r="B70" i="7" s="1"/>
  <c r="B18" i="6"/>
  <c r="B16" i="6"/>
  <c r="G42" i="6"/>
  <c r="B42" i="6"/>
  <c r="B46" i="6" s="1"/>
  <c r="G34" i="6"/>
  <c r="B20" i="6" l="1"/>
  <c r="G37" i="6"/>
  <c r="G46" i="6"/>
  <c r="G44" i="4"/>
  <c r="B44" i="4"/>
  <c r="B76" i="10"/>
  <c r="C28" i="3"/>
  <c r="D28" i="3" s="1"/>
  <c r="E28" i="3" s="1"/>
  <c r="F28" i="3" s="1"/>
  <c r="G36" i="4"/>
  <c r="G39" i="4" s="1"/>
  <c r="B16" i="4"/>
  <c r="G16" i="4"/>
  <c r="D76" i="10" l="1"/>
  <c r="G28" i="3"/>
  <c r="B48" i="4"/>
  <c r="G48" i="4"/>
  <c r="B18" i="4" l="1"/>
  <c r="B20" i="4" s="1"/>
  <c r="C79" i="4"/>
  <c r="D92" i="4"/>
  <c r="L24" i="1" l="1"/>
  <c r="K87" i="1"/>
  <c r="C26" i="3" l="1"/>
  <c r="L14" i="1"/>
  <c r="B80" i="10" s="1"/>
  <c r="D80" i="10" s="1"/>
  <c r="B79" i="10"/>
  <c r="D79" i="10" s="1"/>
  <c r="B72" i="10"/>
  <c r="D72" i="10" s="1"/>
  <c r="D26" i="3" l="1"/>
  <c r="E26" i="3" s="1"/>
  <c r="F26" i="3" s="1"/>
  <c r="G26" i="3" l="1"/>
  <c r="H26" i="3" s="1"/>
  <c r="K65" i="1" l="1"/>
  <c r="G110" i="4"/>
  <c r="G109" i="4"/>
  <c r="G94" i="4"/>
  <c r="G100" i="4" s="1"/>
  <c r="G79" i="4"/>
  <c r="L56" i="1"/>
  <c r="L55" i="1"/>
  <c r="L7" i="1"/>
  <c r="B73" i="10" s="1"/>
  <c r="D73" i="10" s="1"/>
  <c r="O65" i="1"/>
  <c r="O57" i="1"/>
  <c r="L34" i="1"/>
  <c r="K9" i="1"/>
  <c r="K16" i="1"/>
  <c r="L19" i="1"/>
  <c r="L17" i="1"/>
  <c r="L39" i="1"/>
  <c r="L32" i="1"/>
  <c r="L22" i="1"/>
  <c r="L15" i="1"/>
  <c r="B81" i="10" s="1"/>
  <c r="D81" i="10" s="1"/>
  <c r="B78" i="10"/>
  <c r="D78" i="10" s="1"/>
  <c r="L11" i="1"/>
  <c r="B77" i="10" s="1"/>
  <c r="B74" i="10"/>
  <c r="D74" i="10" s="1"/>
  <c r="L5" i="1"/>
  <c r="B71" i="10" s="1"/>
  <c r="D71" i="10" s="1"/>
  <c r="B70" i="10"/>
  <c r="D70" i="10" s="1"/>
  <c r="L3" i="1"/>
  <c r="B69" i="10" l="1"/>
  <c r="B75" i="10" s="1"/>
  <c r="L9" i="1"/>
  <c r="D77" i="10"/>
  <c r="B82" i="10"/>
  <c r="D82" i="10" s="1"/>
  <c r="G20" i="10"/>
  <c r="G71" i="4"/>
  <c r="G88" i="4" s="1"/>
  <c r="G12" i="4" s="1"/>
  <c r="G114" i="4"/>
  <c r="G20" i="4"/>
  <c r="K30" i="1"/>
  <c r="G80" i="6"/>
  <c r="G96" i="6"/>
  <c r="G102" i="6" s="1"/>
  <c r="G8" i="6" s="1"/>
  <c r="G72" i="6"/>
  <c r="K44" i="1"/>
  <c r="I4" i="3"/>
  <c r="I7" i="3"/>
  <c r="J7" i="3"/>
  <c r="B73" i="7" s="1"/>
  <c r="I8" i="3"/>
  <c r="J8" i="3"/>
  <c r="I14" i="3"/>
  <c r="J14" i="3"/>
  <c r="I17" i="3"/>
  <c r="J17" i="3"/>
  <c r="B82" i="7" s="1"/>
  <c r="I25" i="3"/>
  <c r="J25" i="3"/>
  <c r="I26" i="3"/>
  <c r="J26" i="3"/>
  <c r="I28" i="3"/>
  <c r="J28" i="3"/>
  <c r="I29" i="3"/>
  <c r="J29" i="3"/>
  <c r="I31" i="3"/>
  <c r="J31" i="3"/>
  <c r="I32" i="3"/>
  <c r="J32" i="3"/>
  <c r="I36" i="3"/>
  <c r="J36" i="3"/>
  <c r="I44" i="3"/>
  <c r="J44" i="3"/>
  <c r="B105" i="10" s="1"/>
  <c r="D105" i="10" s="1"/>
  <c r="I45" i="3"/>
  <c r="J45" i="3"/>
  <c r="B106" i="10" s="1"/>
  <c r="D106" i="10" s="1"/>
  <c r="I47" i="3"/>
  <c r="J47" i="3"/>
  <c r="I48" i="3"/>
  <c r="J48" i="3"/>
  <c r="I49" i="3"/>
  <c r="J49" i="3"/>
  <c r="I52" i="3"/>
  <c r="J52" i="3"/>
  <c r="J55" i="3"/>
  <c r="B115" i="10" s="1"/>
  <c r="I56" i="3"/>
  <c r="C16" i="6" s="1"/>
  <c r="J56" i="3"/>
  <c r="B116" i="7" s="1"/>
  <c r="C16" i="7" s="1"/>
  <c r="D16" i="7" s="1"/>
  <c r="I57" i="3"/>
  <c r="J57" i="3"/>
  <c r="K60" i="1" l="1"/>
  <c r="K48" i="1"/>
  <c r="K52" i="1" s="1"/>
  <c r="C115" i="10"/>
  <c r="B118" i="10"/>
  <c r="G20" i="7"/>
  <c r="D16" i="6"/>
  <c r="B91" i="10"/>
  <c r="D75" i="10"/>
  <c r="G89" i="6"/>
  <c r="G103" i="4"/>
  <c r="G107" i="4" s="1"/>
  <c r="G105" i="6" l="1"/>
  <c r="G109" i="6" s="1"/>
  <c r="G20" i="6" s="1"/>
  <c r="G10" i="6"/>
  <c r="G12" i="6" s="1"/>
  <c r="L38" i="1"/>
  <c r="K81" i="1"/>
  <c r="C118" i="10"/>
  <c r="D118" i="10" s="1"/>
  <c r="D115" i="10"/>
  <c r="C10" i="10"/>
  <c r="D91" i="10"/>
  <c r="G12" i="7"/>
  <c r="G12" i="10"/>
  <c r="F23" i="3"/>
  <c r="C19" i="3"/>
  <c r="C6" i="3"/>
  <c r="B68" i="4" s="1"/>
  <c r="D10" i="10" l="1"/>
  <c r="I23" i="3"/>
  <c r="B85" i="6" s="1"/>
  <c r="J23" i="3"/>
  <c r="B88" i="7" s="1"/>
  <c r="D6" i="3"/>
  <c r="H14" i="3"/>
  <c r="I9" i="3" l="1"/>
  <c r="I5" i="3"/>
  <c r="J5" i="3"/>
  <c r="B71" i="7" s="1"/>
  <c r="I6" i="3"/>
  <c r="J9" i="3"/>
  <c r="B74" i="7" s="1"/>
  <c r="C15" i="8" l="1"/>
  <c r="C19" i="8"/>
  <c r="C69" i="8" l="1"/>
  <c r="C37" i="8" l="1"/>
  <c r="G25" i="8" l="1"/>
  <c r="D14" i="8" l="1"/>
  <c r="C44" i="8"/>
  <c r="L16" i="1" l="1"/>
  <c r="J6" i="1"/>
  <c r="J4" i="1"/>
  <c r="J8" i="1"/>
  <c r="J14" i="1"/>
  <c r="J17" i="1"/>
  <c r="J42" i="1"/>
  <c r="J41" i="1"/>
  <c r="J33" i="1"/>
  <c r="C51" i="8"/>
  <c r="C4" i="8"/>
  <c r="C6" i="8"/>
  <c r="C9" i="8"/>
  <c r="C33" i="8"/>
  <c r="L30" i="1" l="1"/>
  <c r="C36" i="8"/>
  <c r="C42" i="8" s="1"/>
  <c r="C52" i="8"/>
  <c r="C10" i="8"/>
  <c r="C30" i="8" s="1"/>
  <c r="C18" i="8"/>
  <c r="B44" i="8"/>
  <c r="D44" i="8" s="1"/>
  <c r="D27" i="8"/>
  <c r="D28" i="8"/>
  <c r="D29" i="8"/>
  <c r="D55" i="8"/>
  <c r="D47" i="8"/>
  <c r="D46" i="8"/>
  <c r="D26" i="8"/>
  <c r="C45" i="8" l="1"/>
  <c r="C49" i="8" s="1"/>
  <c r="D31" i="8"/>
  <c r="C110" i="7" l="1"/>
  <c r="D110" i="7" s="1"/>
  <c r="D73" i="7"/>
  <c r="D82" i="7"/>
  <c r="B90" i="7"/>
  <c r="D90" i="7" s="1"/>
  <c r="B105" i="7"/>
  <c r="D105" i="7" s="1"/>
  <c r="B106" i="7"/>
  <c r="D106" i="7" s="1"/>
  <c r="D117" i="7"/>
  <c r="D109" i="7"/>
  <c r="D108" i="7"/>
  <c r="D92" i="7"/>
  <c r="C83" i="7"/>
  <c r="D116" i="7" l="1"/>
  <c r="C91" i="7"/>
  <c r="B10" i="7" s="1"/>
  <c r="C104" i="7"/>
  <c r="B8" i="7" s="1"/>
  <c r="D70" i="7"/>
  <c r="D71" i="7"/>
  <c r="B103" i="6"/>
  <c r="D103" i="6" s="1"/>
  <c r="B104" i="6"/>
  <c r="D104" i="6" s="1"/>
  <c r="D114" i="6"/>
  <c r="D68" i="6"/>
  <c r="D70" i="6"/>
  <c r="B76" i="6"/>
  <c r="D76" i="6" s="1"/>
  <c r="D79" i="6"/>
  <c r="B87" i="6"/>
  <c r="D87" i="6" s="1"/>
  <c r="D115" i="6"/>
  <c r="D107" i="6"/>
  <c r="D106" i="6"/>
  <c r="C96" i="6"/>
  <c r="D90" i="6"/>
  <c r="D88" i="6"/>
  <c r="C80" i="6"/>
  <c r="C72" i="6"/>
  <c r="B12" i="7" l="1"/>
  <c r="C108" i="6"/>
  <c r="C107" i="7"/>
  <c r="C102" i="6"/>
  <c r="B8" i="6" s="1"/>
  <c r="C89" i="6"/>
  <c r="B10" i="6" s="1"/>
  <c r="D67" i="6"/>
  <c r="B72" i="4"/>
  <c r="D72" i="4" s="1"/>
  <c r="D87" i="4"/>
  <c r="D104" i="4"/>
  <c r="D105" i="4"/>
  <c r="D113" i="4"/>
  <c r="C71" i="4"/>
  <c r="C94" i="4"/>
  <c r="C100" i="4" s="1"/>
  <c r="B8" i="4" s="1"/>
  <c r="B112" i="4"/>
  <c r="B102" i="4"/>
  <c r="D102" i="4" s="1"/>
  <c r="B101" i="4"/>
  <c r="D101" i="4" s="1"/>
  <c r="B86" i="4"/>
  <c r="D86" i="4" s="1"/>
  <c r="B78" i="4"/>
  <c r="D78" i="4" s="1"/>
  <c r="B75" i="4"/>
  <c r="D75" i="4" s="1"/>
  <c r="B66" i="4"/>
  <c r="D66" i="4" s="1"/>
  <c r="B67" i="4"/>
  <c r="D67" i="4" s="1"/>
  <c r="B69" i="4"/>
  <c r="D69" i="4" s="1"/>
  <c r="G4" i="3"/>
  <c r="G5" i="3"/>
  <c r="G8" i="3"/>
  <c r="G17" i="3"/>
  <c r="G44" i="3"/>
  <c r="B43" i="8" s="1"/>
  <c r="D43" i="8" s="1"/>
  <c r="G49" i="3"/>
  <c r="B48" i="8" s="1"/>
  <c r="D48" i="8" s="1"/>
  <c r="G56" i="3"/>
  <c r="B54" i="8" s="1"/>
  <c r="D54" i="8" s="1"/>
  <c r="F57" i="3"/>
  <c r="C49" i="3"/>
  <c r="C106" i="4" s="1"/>
  <c r="D106" i="4" s="1"/>
  <c r="C35" i="3"/>
  <c r="C54" i="3"/>
  <c r="C53" i="3"/>
  <c r="C42" i="3"/>
  <c r="C41" i="3"/>
  <c r="C40" i="3"/>
  <c r="C33" i="3"/>
  <c r="C24" i="3"/>
  <c r="C22" i="3"/>
  <c r="C21" i="3"/>
  <c r="C16" i="3"/>
  <c r="C13" i="3"/>
  <c r="C12" i="3"/>
  <c r="C3" i="3"/>
  <c r="J3" i="3" s="1"/>
  <c r="B69" i="7" s="1"/>
  <c r="B57" i="3"/>
  <c r="B18" i="3"/>
  <c r="B10" i="3"/>
  <c r="B30" i="3" l="1"/>
  <c r="B12" i="6"/>
  <c r="D108" i="6"/>
  <c r="D112" i="4"/>
  <c r="C16" i="4"/>
  <c r="B96" i="4"/>
  <c r="D96" i="4" s="1"/>
  <c r="B93" i="4"/>
  <c r="D93" i="4" s="1"/>
  <c r="B85" i="4"/>
  <c r="D85" i="4" s="1"/>
  <c r="I3" i="3"/>
  <c r="B66" i="6" s="1"/>
  <c r="B90" i="4"/>
  <c r="D90" i="4" s="1"/>
  <c r="I11" i="3"/>
  <c r="H56" i="3"/>
  <c r="B83" i="4"/>
  <c r="D83" i="4" s="1"/>
  <c r="G57" i="3"/>
  <c r="H57" i="3" s="1"/>
  <c r="H44" i="3"/>
  <c r="C88" i="4"/>
  <c r="D53" i="3"/>
  <c r="E53" i="3" s="1"/>
  <c r="F53" i="3" s="1"/>
  <c r="H5" i="3"/>
  <c r="B5" i="8"/>
  <c r="D5" i="8" s="1"/>
  <c r="I34" i="3"/>
  <c r="G55" i="3"/>
  <c r="B53" i="8" s="1"/>
  <c r="B115" i="7"/>
  <c r="H17" i="3"/>
  <c r="B17" i="8"/>
  <c r="D17" i="8" s="1"/>
  <c r="B98" i="4"/>
  <c r="D98" i="4" s="1"/>
  <c r="B109" i="4"/>
  <c r="D33" i="3"/>
  <c r="E33" i="3" s="1"/>
  <c r="F33" i="3" s="1"/>
  <c r="G33" i="3" s="1"/>
  <c r="B33" i="8" s="1"/>
  <c r="F38" i="3"/>
  <c r="G38" i="3" s="1"/>
  <c r="B37" i="8" s="1"/>
  <c r="D37" i="8" s="1"/>
  <c r="D40" i="3"/>
  <c r="E40" i="3" s="1"/>
  <c r="F40" i="3" s="1"/>
  <c r="D42" i="3"/>
  <c r="E42" i="3" s="1"/>
  <c r="F42" i="3" s="1"/>
  <c r="G42" i="3" s="1"/>
  <c r="D54" i="3"/>
  <c r="E54" i="3" s="1"/>
  <c r="F54" i="3" s="1"/>
  <c r="D35" i="3"/>
  <c r="E35" i="3" s="1"/>
  <c r="F35" i="3" s="1"/>
  <c r="H8" i="3"/>
  <c r="B8" i="8"/>
  <c r="D8" i="8" s="1"/>
  <c r="H4" i="3"/>
  <c r="B4" i="8"/>
  <c r="D4" i="8" s="1"/>
  <c r="B91" i="4"/>
  <c r="D91" i="4" s="1"/>
  <c r="B95" i="4"/>
  <c r="D95" i="4" s="1"/>
  <c r="B97" i="4"/>
  <c r="D97" i="4" s="1"/>
  <c r="B99" i="4"/>
  <c r="D99" i="4" s="1"/>
  <c r="B110" i="4"/>
  <c r="D110" i="4" s="1"/>
  <c r="D22" i="3"/>
  <c r="E22" i="3" s="1"/>
  <c r="F22" i="3" s="1"/>
  <c r="G22" i="3" s="1"/>
  <c r="D85" i="6"/>
  <c r="B84" i="4"/>
  <c r="D84" i="4" s="1"/>
  <c r="B81" i="4"/>
  <c r="D81" i="4" s="1"/>
  <c r="B80" i="4"/>
  <c r="D80" i="4" s="1"/>
  <c r="B82" i="4"/>
  <c r="D82" i="4" s="1"/>
  <c r="B73" i="4"/>
  <c r="D73" i="4" s="1"/>
  <c r="D77" i="4"/>
  <c r="B74" i="4"/>
  <c r="D74" i="4" s="1"/>
  <c r="B76" i="4"/>
  <c r="D76" i="4" s="1"/>
  <c r="G3" i="3"/>
  <c r="B3" i="8" s="1"/>
  <c r="B65" i="4"/>
  <c r="D65" i="4" s="1"/>
  <c r="D68" i="4"/>
  <c r="B70" i="4"/>
  <c r="D70" i="4" s="1"/>
  <c r="D71" i="6"/>
  <c r="C111" i="7"/>
  <c r="B36" i="7" s="1"/>
  <c r="C105" i="6"/>
  <c r="D16" i="3"/>
  <c r="E16" i="3" s="1"/>
  <c r="F16" i="3" s="1"/>
  <c r="D41" i="3"/>
  <c r="E41" i="3" s="1"/>
  <c r="F41" i="3" s="1"/>
  <c r="C10" i="3"/>
  <c r="D69" i="6"/>
  <c r="D12" i="3"/>
  <c r="E12" i="3" s="1"/>
  <c r="F12" i="3" s="1"/>
  <c r="C18" i="3"/>
  <c r="G23" i="3"/>
  <c r="D19" i="3"/>
  <c r="D13" i="3"/>
  <c r="E13" i="3" s="1"/>
  <c r="F13" i="3" s="1"/>
  <c r="C37" i="3"/>
  <c r="D24" i="3"/>
  <c r="E24" i="3" s="1"/>
  <c r="F24" i="3" s="1"/>
  <c r="D21" i="3"/>
  <c r="E21" i="3" s="1"/>
  <c r="F21" i="3" s="1"/>
  <c r="B58" i="3"/>
  <c r="C55" i="3"/>
  <c r="I55" i="3" s="1"/>
  <c r="L59" i="1"/>
  <c r="J59" i="1"/>
  <c r="I33" i="3" l="1"/>
  <c r="B20" i="7"/>
  <c r="C103" i="4"/>
  <c r="C107" i="4" s="1"/>
  <c r="B37" i="4" s="1"/>
  <c r="B10" i="4"/>
  <c r="B12" i="4" s="1"/>
  <c r="D16" i="4"/>
  <c r="D109" i="4"/>
  <c r="C18" i="4"/>
  <c r="D18" i="4" s="1"/>
  <c r="I20" i="3"/>
  <c r="I21" i="3"/>
  <c r="I42" i="3"/>
  <c r="I53" i="3"/>
  <c r="I41" i="3"/>
  <c r="G40" i="3"/>
  <c r="H40" i="3" s="1"/>
  <c r="J35" i="3"/>
  <c r="F37" i="3"/>
  <c r="F43" i="3" s="1"/>
  <c r="I39" i="3"/>
  <c r="J42" i="3"/>
  <c r="B103" i="10" s="1"/>
  <c r="J22" i="3"/>
  <c r="B87" i="7" s="1"/>
  <c r="I54" i="3"/>
  <c r="D92" i="6"/>
  <c r="J24" i="3"/>
  <c r="I35" i="3"/>
  <c r="J34" i="3"/>
  <c r="J12" i="3"/>
  <c r="B77" i="7" s="1"/>
  <c r="I22" i="3"/>
  <c r="J33" i="3"/>
  <c r="J38" i="3"/>
  <c r="B99" i="7" s="1"/>
  <c r="D99" i="7" s="1"/>
  <c r="J13" i="3"/>
  <c r="B78" i="7" s="1"/>
  <c r="D78" i="7" s="1"/>
  <c r="J40" i="3"/>
  <c r="I24" i="3"/>
  <c r="I12" i="3"/>
  <c r="J16" i="3"/>
  <c r="B81" i="7" s="1"/>
  <c r="D81" i="7" s="1"/>
  <c r="J54" i="3"/>
  <c r="I19" i="3"/>
  <c r="D81" i="6" s="1"/>
  <c r="D37" i="3"/>
  <c r="I37" i="3" s="1"/>
  <c r="G15" i="3"/>
  <c r="J15" i="3"/>
  <c r="B80" i="7" s="1"/>
  <c r="D80" i="7" s="1"/>
  <c r="D93" i="6"/>
  <c r="I38" i="3"/>
  <c r="D97" i="6" s="1"/>
  <c r="I13" i="3"/>
  <c r="I40" i="3"/>
  <c r="J20" i="3"/>
  <c r="J53" i="3"/>
  <c r="B113" i="7" s="1"/>
  <c r="D113" i="7" s="1"/>
  <c r="J41" i="3"/>
  <c r="J21" i="3"/>
  <c r="J39" i="3"/>
  <c r="I16" i="3"/>
  <c r="B78" i="6" s="1"/>
  <c r="D78" i="6" s="1"/>
  <c r="B94" i="4"/>
  <c r="D94" i="4" s="1"/>
  <c r="H3" i="3"/>
  <c r="G35" i="3"/>
  <c r="H35" i="3" s="1"/>
  <c r="B101" i="6"/>
  <c r="D101" i="6" s="1"/>
  <c r="E19" i="3"/>
  <c r="J19" i="3" s="1"/>
  <c r="B79" i="4"/>
  <c r="D79" i="4" s="1"/>
  <c r="G53" i="3"/>
  <c r="B51" i="8" s="1"/>
  <c r="D51" i="8" s="1"/>
  <c r="G54" i="3"/>
  <c r="H54" i="3" s="1"/>
  <c r="G41" i="3"/>
  <c r="H41" i="3" s="1"/>
  <c r="D33" i="8"/>
  <c r="B39" i="8"/>
  <c r="D39" i="8" s="1"/>
  <c r="H42" i="3"/>
  <c r="B41" i="8"/>
  <c r="D41" i="8" s="1"/>
  <c r="C115" i="7"/>
  <c r="D100" i="6"/>
  <c r="D98" i="6"/>
  <c r="C58" i="3"/>
  <c r="D55" i="3" s="1"/>
  <c r="D58" i="3" s="1"/>
  <c r="I58" i="3" s="1"/>
  <c r="B113" i="6"/>
  <c r="B111" i="4"/>
  <c r="C43" i="3"/>
  <c r="B71" i="4"/>
  <c r="D71" i="4" s="1"/>
  <c r="D88" i="7"/>
  <c r="B103" i="7"/>
  <c r="D103" i="7" s="1"/>
  <c r="C53" i="8"/>
  <c r="H22" i="3"/>
  <c r="B22" i="8"/>
  <c r="D22" i="8" s="1"/>
  <c r="H23" i="3"/>
  <c r="B23" i="8"/>
  <c r="D23" i="8" s="1"/>
  <c r="G20" i="3"/>
  <c r="D82" i="6"/>
  <c r="D83" i="6"/>
  <c r="D73" i="6"/>
  <c r="D77" i="6"/>
  <c r="G13" i="3"/>
  <c r="G16" i="3"/>
  <c r="D77" i="7"/>
  <c r="D74" i="7"/>
  <c r="D66" i="6"/>
  <c r="B72" i="6"/>
  <c r="D3" i="8"/>
  <c r="C109" i="6"/>
  <c r="C30" i="3"/>
  <c r="G9" i="3"/>
  <c r="G24" i="3"/>
  <c r="G21" i="3"/>
  <c r="G12" i="3"/>
  <c r="E6" i="3"/>
  <c r="B72" i="7" s="1"/>
  <c r="D10" i="3"/>
  <c r="I10" i="3" s="1"/>
  <c r="G39" i="3"/>
  <c r="D18" i="3"/>
  <c r="I18" i="3" s="1"/>
  <c r="G7" i="3"/>
  <c r="H38" i="3"/>
  <c r="H33" i="3"/>
  <c r="J55" i="1"/>
  <c r="J56" i="1" s="1"/>
  <c r="H53" i="3" l="1"/>
  <c r="D43" i="3"/>
  <c r="I43" i="3" s="1"/>
  <c r="B84" i="7"/>
  <c r="D84" i="7" s="1"/>
  <c r="B86" i="7"/>
  <c r="D86" i="7" s="1"/>
  <c r="B74" i="6"/>
  <c r="D74" i="6" s="1"/>
  <c r="B95" i="7"/>
  <c r="D95" i="7" s="1"/>
  <c r="D112" i="6"/>
  <c r="C18" i="6"/>
  <c r="B102" i="7"/>
  <c r="D102" i="7" s="1"/>
  <c r="D75" i="6"/>
  <c r="D86" i="6"/>
  <c r="B94" i="7"/>
  <c r="D94" i="7" s="1"/>
  <c r="D95" i="6"/>
  <c r="B97" i="7"/>
  <c r="D97" i="7" s="1"/>
  <c r="B114" i="7"/>
  <c r="D114" i="7" s="1"/>
  <c r="B101" i="7"/>
  <c r="D101" i="7" s="1"/>
  <c r="B89" i="7"/>
  <c r="D89" i="7" s="1"/>
  <c r="D103" i="10"/>
  <c r="B104" i="10"/>
  <c r="B100" i="7"/>
  <c r="D100" i="7" s="1"/>
  <c r="B85" i="7"/>
  <c r="D85" i="7" s="1"/>
  <c r="B35" i="6"/>
  <c r="D99" i="6"/>
  <c r="D111" i="6"/>
  <c r="C20" i="4"/>
  <c r="D20" i="4" s="1"/>
  <c r="B35" i="8"/>
  <c r="D35" i="8" s="1"/>
  <c r="G58" i="3"/>
  <c r="G34" i="3"/>
  <c r="B34" i="8" s="1"/>
  <c r="D34" i="8" s="1"/>
  <c r="E37" i="3"/>
  <c r="E43" i="3" s="1"/>
  <c r="B100" i="4"/>
  <c r="C8" i="4" s="1"/>
  <c r="B96" i="6"/>
  <c r="B102" i="6" s="1"/>
  <c r="J11" i="3"/>
  <c r="B76" i="7" s="1"/>
  <c r="B40" i="8"/>
  <c r="D40" i="8" s="1"/>
  <c r="D87" i="7"/>
  <c r="B52" i="8"/>
  <c r="D52" i="8" s="1"/>
  <c r="D84" i="6"/>
  <c r="D72" i="7"/>
  <c r="F6" i="3"/>
  <c r="G6" i="3" s="1"/>
  <c r="B6" i="8" s="1"/>
  <c r="B88" i="4"/>
  <c r="H7" i="3"/>
  <c r="B7" i="8"/>
  <c r="D7" i="8" s="1"/>
  <c r="D53" i="8"/>
  <c r="D56" i="8" s="1"/>
  <c r="C56" i="8"/>
  <c r="C59" i="8" s="1"/>
  <c r="C113" i="6"/>
  <c r="C116" i="6" s="1"/>
  <c r="D115" i="7"/>
  <c r="C118" i="7"/>
  <c r="B35" i="7" s="1"/>
  <c r="B38" i="7" s="1"/>
  <c r="H39" i="3"/>
  <c r="B38" i="8"/>
  <c r="D38" i="8" s="1"/>
  <c r="C111" i="4"/>
  <c r="B114" i="4"/>
  <c r="E55" i="3"/>
  <c r="E58" i="3" s="1"/>
  <c r="J58" i="3" s="1"/>
  <c r="H24" i="3"/>
  <c r="B24" i="8"/>
  <c r="D24" i="8" s="1"/>
  <c r="H21" i="3"/>
  <c r="B21" i="8"/>
  <c r="D21" i="8" s="1"/>
  <c r="H20" i="3"/>
  <c r="B20" i="8"/>
  <c r="D20" i="8" s="1"/>
  <c r="H16" i="3"/>
  <c r="B16" i="8"/>
  <c r="D16" i="8" s="1"/>
  <c r="B80" i="6"/>
  <c r="D80" i="6" s="1"/>
  <c r="H15" i="3"/>
  <c r="B15" i="8"/>
  <c r="D15" i="8" s="1"/>
  <c r="H12" i="3"/>
  <c r="B12" i="8"/>
  <c r="D12" i="8" s="1"/>
  <c r="H13" i="3"/>
  <c r="B13" i="8"/>
  <c r="D13" i="8" s="1"/>
  <c r="C46" i="3"/>
  <c r="H9" i="3"/>
  <c r="B9" i="8"/>
  <c r="D9" i="8" s="1"/>
  <c r="D72" i="6"/>
  <c r="D30" i="3"/>
  <c r="D46" i="3" s="1"/>
  <c r="F18" i="3"/>
  <c r="E18" i="3"/>
  <c r="J18" i="3" s="1"/>
  <c r="F19" i="3"/>
  <c r="E10" i="3"/>
  <c r="J10" i="3" s="1"/>
  <c r="J51" i="1"/>
  <c r="I60" i="1"/>
  <c r="I38" i="1"/>
  <c r="I44" i="1" s="1"/>
  <c r="I32" i="1"/>
  <c r="I16" i="1"/>
  <c r="I9" i="1"/>
  <c r="B116" i="6" l="1"/>
  <c r="C18" i="7"/>
  <c r="B118" i="7"/>
  <c r="B36" i="8"/>
  <c r="B98" i="7"/>
  <c r="D98" i="7" s="1"/>
  <c r="J43" i="3"/>
  <c r="D113" i="6"/>
  <c r="C8" i="10"/>
  <c r="D104" i="10"/>
  <c r="B107" i="10"/>
  <c r="D18" i="6"/>
  <c r="C20" i="6"/>
  <c r="D20" i="6" s="1"/>
  <c r="D102" i="6"/>
  <c r="C8" i="6"/>
  <c r="D8" i="6" s="1"/>
  <c r="D8" i="4"/>
  <c r="D88" i="4"/>
  <c r="C10" i="4"/>
  <c r="D10" i="4" s="1"/>
  <c r="D100" i="4"/>
  <c r="J37" i="3"/>
  <c r="H34" i="3"/>
  <c r="H37" i="3" s="1"/>
  <c r="H43" i="3" s="1"/>
  <c r="G37" i="3"/>
  <c r="G43" i="3" s="1"/>
  <c r="D96" i="6"/>
  <c r="B75" i="7"/>
  <c r="D75" i="7" s="1"/>
  <c r="B83" i="7"/>
  <c r="D83" i="7" s="1"/>
  <c r="D76" i="7"/>
  <c r="I46" i="3"/>
  <c r="I30" i="3"/>
  <c r="F10" i="3"/>
  <c r="B103" i="4"/>
  <c r="B107" i="4" s="1"/>
  <c r="D107" i="4" s="1"/>
  <c r="B11" i="8"/>
  <c r="D11" i="8" s="1"/>
  <c r="B89" i="6"/>
  <c r="B56" i="8"/>
  <c r="B104" i="7"/>
  <c r="F55" i="3"/>
  <c r="F58" i="3" s="1"/>
  <c r="D111" i="4"/>
  <c r="C114" i="4"/>
  <c r="B42" i="8"/>
  <c r="D42" i="8" s="1"/>
  <c r="D36" i="8"/>
  <c r="B32" i="6"/>
  <c r="D118" i="7"/>
  <c r="D6" i="8"/>
  <c r="B10" i="8"/>
  <c r="C50" i="3"/>
  <c r="D49" i="3" s="1"/>
  <c r="D50" i="3" s="1"/>
  <c r="I50" i="3" s="1"/>
  <c r="E30" i="3"/>
  <c r="E46" i="3" s="1"/>
  <c r="J46" i="3" s="1"/>
  <c r="H6" i="3"/>
  <c r="H10" i="3" s="1"/>
  <c r="G10" i="3"/>
  <c r="G19" i="3"/>
  <c r="B19" i="8" s="1"/>
  <c r="D19" i="8" s="1"/>
  <c r="I30" i="1"/>
  <c r="I48" i="1" s="1"/>
  <c r="J60" i="1"/>
  <c r="J38" i="1"/>
  <c r="J31" i="1" s="1"/>
  <c r="H38" i="1"/>
  <c r="H44" i="1" s="1"/>
  <c r="H16" i="1"/>
  <c r="H9" i="1"/>
  <c r="B35" i="4" l="1"/>
  <c r="B36" i="4" s="1"/>
  <c r="B39" i="4" s="1"/>
  <c r="B111" i="10"/>
  <c r="D111" i="10" s="1"/>
  <c r="D107" i="10"/>
  <c r="D8" i="10"/>
  <c r="C12" i="10"/>
  <c r="D12" i="10" s="1"/>
  <c r="D104" i="7"/>
  <c r="C8" i="7"/>
  <c r="D8" i="7" s="1"/>
  <c r="B34" i="6"/>
  <c r="B37" i="6" s="1"/>
  <c r="B105" i="6"/>
  <c r="B109" i="6" s="1"/>
  <c r="C10" i="6"/>
  <c r="C12" i="4"/>
  <c r="D12" i="4" s="1"/>
  <c r="D114" i="4"/>
  <c r="B91" i="7"/>
  <c r="D89" i="6"/>
  <c r="D103" i="4"/>
  <c r="J30" i="3"/>
  <c r="G18" i="3"/>
  <c r="B18" i="8"/>
  <c r="D18" i="8" s="1"/>
  <c r="H11" i="3"/>
  <c r="H18" i="3" s="1"/>
  <c r="D116" i="6"/>
  <c r="D10" i="8"/>
  <c r="E49" i="3"/>
  <c r="E50" i="3" s="1"/>
  <c r="J50" i="3" s="1"/>
  <c r="H19" i="3"/>
  <c r="H30" i="1"/>
  <c r="H48" i="1" s="1"/>
  <c r="D91" i="7" l="1"/>
  <c r="C10" i="7"/>
  <c r="D105" i="6"/>
  <c r="D10" i="6"/>
  <c r="C12" i="6"/>
  <c r="D12" i="6" s="1"/>
  <c r="D109" i="6"/>
  <c r="B107" i="7"/>
  <c r="D107" i="7" s="1"/>
  <c r="F49" i="3"/>
  <c r="C12" i="7" l="1"/>
  <c r="D12" i="7" s="1"/>
  <c r="D10" i="7"/>
  <c r="B111" i="7"/>
  <c r="L57" i="1"/>
  <c r="L60" i="1" s="1"/>
  <c r="L44" i="1"/>
  <c r="J16" i="1"/>
  <c r="G38" i="1"/>
  <c r="G16" i="1"/>
  <c r="D111" i="7" l="1"/>
  <c r="L48" i="1"/>
  <c r="G9" i="1"/>
  <c r="D18" i="7" l="1"/>
  <c r="C20" i="7"/>
  <c r="D20" i="7" s="1"/>
  <c r="F9" i="1"/>
  <c r="E9" i="1"/>
  <c r="D9" i="1"/>
  <c r="C9" i="1"/>
  <c r="B9" i="1"/>
  <c r="G44" i="1" l="1"/>
  <c r="G30" i="1"/>
  <c r="G48" i="1" l="1"/>
  <c r="J44" i="1"/>
  <c r="F38" i="1"/>
  <c r="F44" i="1" s="1"/>
  <c r="E38" i="1"/>
  <c r="E44" i="1" s="1"/>
  <c r="D38" i="1"/>
  <c r="D44" i="1" s="1"/>
  <c r="C38" i="1"/>
  <c r="C44" i="1" s="1"/>
  <c r="B38" i="1"/>
  <c r="B44" i="1" s="1"/>
  <c r="F16" i="1"/>
  <c r="E16" i="1"/>
  <c r="E30" i="1" s="1"/>
  <c r="D16" i="1"/>
  <c r="D30" i="1" s="1"/>
  <c r="C16" i="1"/>
  <c r="C30" i="1" s="1"/>
  <c r="B16" i="1"/>
  <c r="B30" i="1" s="1"/>
  <c r="B48" i="1" l="1"/>
  <c r="D48" i="1"/>
  <c r="C48" i="1"/>
  <c r="F30" i="1"/>
  <c r="F48" i="1" s="1"/>
  <c r="E48" i="1"/>
  <c r="J9" i="1"/>
  <c r="J30" i="1" s="1"/>
  <c r="J48" i="1" s="1"/>
  <c r="J52" i="1" s="1"/>
  <c r="B37" i="3" l="1"/>
  <c r="L51" i="1" l="1"/>
  <c r="L52" i="1" s="1"/>
  <c r="F25" i="3"/>
  <c r="B43" i="3"/>
  <c r="B46" i="3" s="1"/>
  <c r="G25" i="3" l="1"/>
  <c r="B25" i="8" s="1"/>
  <c r="D25" i="8" s="1"/>
  <c r="F30" i="3"/>
  <c r="F46" i="3" s="1"/>
  <c r="F50" i="3" s="1"/>
  <c r="B30" i="8"/>
  <c r="G30" i="3"/>
  <c r="G46" i="3" s="1"/>
  <c r="G50" i="3" s="1"/>
  <c r="B50" i="3"/>
  <c r="H25" i="3" l="1"/>
  <c r="H30" i="3" s="1"/>
  <c r="H46" i="3" s="1"/>
  <c r="B45" i="8"/>
  <c r="D30" i="8"/>
  <c r="D45" i="8" l="1"/>
  <c r="D49" i="8" s="1"/>
  <c r="B4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Little</author>
  </authors>
  <commentList>
    <comment ref="I3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Andrew Little:</t>
        </r>
        <r>
          <rPr>
            <sz val="9"/>
            <color indexed="81"/>
            <rFont val="Tahoma"/>
            <family val="2"/>
          </rPr>
          <t xml:space="preserve">
Includes 10% giving</t>
        </r>
      </text>
    </comment>
  </commentList>
</comments>
</file>

<file path=xl/sharedStrings.xml><?xml version="1.0" encoding="utf-8"?>
<sst xmlns="http://schemas.openxmlformats.org/spreadsheetml/2006/main" count="655" uniqueCount="204">
  <si>
    <t>Insurance</t>
  </si>
  <si>
    <t>HLP</t>
  </si>
  <si>
    <t>Rates and water rate</t>
  </si>
  <si>
    <t>Maintenance</t>
  </si>
  <si>
    <t>Grounds upkeep</t>
  </si>
  <si>
    <t>Kitchen/other purchases</t>
  </si>
  <si>
    <t>Cleaning</t>
  </si>
  <si>
    <t>Property costs</t>
  </si>
  <si>
    <t>Organist</t>
  </si>
  <si>
    <t>Gifts</t>
  </si>
  <si>
    <t>Flowers</t>
  </si>
  <si>
    <t>Stat., office, telephone</t>
  </si>
  <si>
    <t>Church running costs</t>
  </si>
  <si>
    <t>Ministry expenses</t>
  </si>
  <si>
    <t>Parish share</t>
  </si>
  <si>
    <t>less discount</t>
  </si>
  <si>
    <t>5% to charity</t>
  </si>
  <si>
    <t>Christian education</t>
  </si>
  <si>
    <t>Total expenditure</t>
  </si>
  <si>
    <t>Expenditure</t>
  </si>
  <si>
    <t>Income</t>
  </si>
  <si>
    <t>Committed giving</t>
  </si>
  <si>
    <t>Cash collections</t>
  </si>
  <si>
    <t>sub total</t>
  </si>
  <si>
    <t>Parochial fees</t>
  </si>
  <si>
    <t>Lettings</t>
  </si>
  <si>
    <t>Sundry donations</t>
  </si>
  <si>
    <t>Gift aid tax recoverable</t>
  </si>
  <si>
    <t>Bequests</t>
  </si>
  <si>
    <t>Total income</t>
  </si>
  <si>
    <t>General fund</t>
  </si>
  <si>
    <t>Opening balance</t>
  </si>
  <si>
    <t>Year end balance</t>
  </si>
  <si>
    <t>Mission</t>
  </si>
  <si>
    <t>Other income</t>
  </si>
  <si>
    <t>Events</t>
  </si>
  <si>
    <t>Sundries</t>
  </si>
  <si>
    <t>Small donations scheme</t>
  </si>
  <si>
    <t>transfer from Mission fund</t>
  </si>
  <si>
    <t>Emergency Electrics</t>
  </si>
  <si>
    <t>Quinq. Repairs</t>
  </si>
  <si>
    <t>"One offs"</t>
  </si>
  <si>
    <t>Requisites for worship</t>
  </si>
  <si>
    <t>CYFW salary</t>
  </si>
  <si>
    <t>CYFW expenses</t>
  </si>
  <si>
    <t>CYFW Fund Start</t>
  </si>
  <si>
    <t>CYFW End balance</t>
  </si>
  <si>
    <t>Tf from General/Mission</t>
  </si>
  <si>
    <t>Bank charges/Governance</t>
  </si>
  <si>
    <t>Cash surplus/deficit</t>
  </si>
  <si>
    <t>Equipment</t>
  </si>
  <si>
    <t>transfer to CYWF</t>
  </si>
  <si>
    <t>Lounge Project</t>
  </si>
  <si>
    <t>Q1</t>
  </si>
  <si>
    <t>Q2</t>
  </si>
  <si>
    <t>Q3</t>
  </si>
  <si>
    <t>Q4</t>
  </si>
  <si>
    <t>Total</t>
  </si>
  <si>
    <t>Check</t>
  </si>
  <si>
    <t>Budget</t>
  </si>
  <si>
    <t>Actual</t>
  </si>
  <si>
    <t>Variance</t>
  </si>
  <si>
    <t>Tree Maintenance</t>
  </si>
  <si>
    <t>Comments</t>
  </si>
  <si>
    <t>No Honorium Paid</t>
  </si>
  <si>
    <t>Current Account</t>
  </si>
  <si>
    <t>Deposit Account</t>
  </si>
  <si>
    <t>Designated</t>
  </si>
  <si>
    <t>Restricted</t>
  </si>
  <si>
    <t>Gazebos</t>
  </si>
  <si>
    <t>Period end balance</t>
  </si>
  <si>
    <t>Security Lights, Table Tennis, Boiler, Lighting Work</t>
  </si>
  <si>
    <t>Depn</t>
  </si>
  <si>
    <t>6% to charity</t>
  </si>
  <si>
    <t>Other Funds</t>
  </si>
  <si>
    <t>Endowment</t>
  </si>
  <si>
    <t>Charity</t>
  </si>
  <si>
    <t>Flower Fund</t>
  </si>
  <si>
    <t>Holiday</t>
  </si>
  <si>
    <t>Maundy</t>
  </si>
  <si>
    <t>Memorial</t>
  </si>
  <si>
    <t>Music</t>
  </si>
  <si>
    <t>Refurb</t>
  </si>
  <si>
    <t>transfer to Reburishment Fund</t>
  </si>
  <si>
    <t>1 Jan 2017 - 31 Dec 2017 - Estimated Actual</t>
  </si>
  <si>
    <t>transfer to Refurb Fund</t>
  </si>
  <si>
    <t>CMS</t>
  </si>
  <si>
    <t>Family Care</t>
  </si>
  <si>
    <t>Cecily's Fund</t>
  </si>
  <si>
    <t>Friary Drop -In</t>
  </si>
  <si>
    <t>CAP</t>
  </si>
  <si>
    <t xml:space="preserve"> </t>
  </si>
  <si>
    <t xml:space="preserve">   Sub - Total :-</t>
  </si>
  <si>
    <t>Charity Payments 2016</t>
  </si>
  <si>
    <t>Cash surplus/deficit General Fund</t>
  </si>
  <si>
    <t>Balance b/f</t>
  </si>
  <si>
    <t>Balance c/f</t>
  </si>
  <si>
    <t>Depreciation</t>
  </si>
  <si>
    <t>CYFW salary + pension conts*</t>
  </si>
  <si>
    <t>CYFW expenses**</t>
  </si>
  <si>
    <t>Net salary</t>
  </si>
  <si>
    <t>Tax &amp; NI</t>
  </si>
  <si>
    <t>Pension contributions</t>
  </si>
  <si>
    <t>Phone costs</t>
  </si>
  <si>
    <t>Course costs</t>
  </si>
  <si>
    <t>Messy Church</t>
  </si>
  <si>
    <t xml:space="preserve">Other </t>
  </si>
  <si>
    <t>Depreciation of laptop</t>
  </si>
  <si>
    <t>Barnabas</t>
  </si>
  <si>
    <t>Other Fund balances</t>
  </si>
  <si>
    <t>CYFW (D &amp; R) c/f</t>
  </si>
  <si>
    <t>Unrestricted</t>
  </si>
  <si>
    <t>CYFW (R &amp; D) end balance***</t>
  </si>
  <si>
    <t>*** CYFW balance</t>
  </si>
  <si>
    <t>General Fund</t>
  </si>
  <si>
    <t>Fixed Assets</t>
  </si>
  <si>
    <t>Total Funds</t>
  </si>
  <si>
    <t>Maintenance (inc Quinq)</t>
  </si>
  <si>
    <t>Cost already incurred but released over 3 years</t>
  </si>
  <si>
    <t>Represented by:</t>
  </si>
  <si>
    <t>Bank balances</t>
  </si>
  <si>
    <t>Fixed assets</t>
  </si>
  <si>
    <t>Debtors/creditors</t>
  </si>
  <si>
    <t>Gift Day</t>
  </si>
  <si>
    <t>Gas &amp; Electricity</t>
  </si>
  <si>
    <t>Represented by</t>
  </si>
  <si>
    <t>St Paul's Church</t>
  </si>
  <si>
    <t>Actual vs Budget</t>
  </si>
  <si>
    <t>Difference</t>
  </si>
  <si>
    <t>Surplus/(Deficit)</t>
  </si>
  <si>
    <t>£</t>
  </si>
  <si>
    <t>transfer to CYFM</t>
  </si>
  <si>
    <t>Children, Youth and Families Ministry</t>
  </si>
  <si>
    <t>Funds Summary</t>
  </si>
  <si>
    <t>CYFM Designated</t>
  </si>
  <si>
    <t>CYFM Restricted</t>
  </si>
  <si>
    <t>Detailed analysis:</t>
  </si>
  <si>
    <t>Amounts to Pay (charity 2018)</t>
  </si>
  <si>
    <t>Points to note:</t>
  </si>
  <si>
    <t>Amounts receivable &amp; cash</t>
  </si>
  <si>
    <t>Maintenance (inc Quint.)</t>
  </si>
  <si>
    <t>(£2,970 included in Other Funds above)</t>
  </si>
  <si>
    <t>Final gift day figure including gift aid is £6,510.  This includes some new planned giving for 2019.</t>
  </si>
  <si>
    <t>Cleaning and hygiene</t>
  </si>
  <si>
    <t>Penny's salary increased from March, back dated to October 2018.</t>
  </si>
  <si>
    <t>Maintenance includes - £1,565 electrical works + £1,161 new tables + £456 new key pad/lock +</t>
  </si>
  <si>
    <t>£624 re church floor.</t>
  </si>
  <si>
    <t>Income is above budget thanks to the gift day.  Overall funds have reduced as we are consuming</t>
  </si>
  <si>
    <t>the restricted fund (grant income) on CYFW salary and expenses.</t>
  </si>
  <si>
    <t>Summary</t>
  </si>
  <si>
    <t>Detailed analysis</t>
  </si>
  <si>
    <t>9 months to 30/9/18</t>
  </si>
  <si>
    <t>Last tax reclaim 12/07/19 for £2,727.  Tax reclaim made since £3,109.</t>
  </si>
  <si>
    <t>Maintenance (inc Qq costs)</t>
  </si>
  <si>
    <t>(includes £920 of advance payments to Friary)</t>
  </si>
  <si>
    <t>1 Jan - 30 September 2019</t>
  </si>
  <si>
    <t>Amounts to Pay (charity)</t>
  </si>
  <si>
    <t>the restricted fund (grant income) on CYFW salary and expenses as expected.</t>
  </si>
  <si>
    <t>£624 re church floor.  Grounds upkeep includes significant tree work.</t>
  </si>
  <si>
    <t>Figures include final tax reclaim estimate upto 31.12.19.</t>
  </si>
  <si>
    <t>(of which £1,362 included in Other Funds above)</t>
  </si>
  <si>
    <t>(£5,530 cash)</t>
  </si>
  <si>
    <t>2020 Budget</t>
  </si>
  <si>
    <t>2019 Actual</t>
  </si>
  <si>
    <t>Gift day</t>
  </si>
  <si>
    <t>(1 year remaining)</t>
  </si>
  <si>
    <t>Total funds 31.12.19</t>
  </si>
  <si>
    <t>** CYFW expenses 2019</t>
  </si>
  <si>
    <t>* CYFW salary + pension conts 2019:</t>
  </si>
  <si>
    <t>Infinity, School work etc</t>
  </si>
  <si>
    <t>Water rates</t>
  </si>
  <si>
    <t>Fabric Fund (New Door)</t>
  </si>
  <si>
    <t>2.5 years costs</t>
  </si>
  <si>
    <t>1 January to 31 March 2020</t>
  </si>
  <si>
    <t>2020 Q1</t>
  </si>
  <si>
    <t>Amounts to Pay (charity 2019)</t>
  </si>
  <si>
    <t>At 31.12.19</t>
  </si>
  <si>
    <t>2020 budget</t>
  </si>
  <si>
    <t>Previous budget £4,203 deficit</t>
  </si>
  <si>
    <t>1st Q 2019</t>
  </si>
  <si>
    <t>All paid in April</t>
  </si>
  <si>
    <t>Reduced by</t>
  </si>
  <si>
    <t>Income was above expectation mainly due to additional one off donations totalling £1,600 as a result of the</t>
  </si>
  <si>
    <t xml:space="preserve">giving campaign and lettings being £1,300 above expectation. </t>
  </si>
  <si>
    <t xml:space="preserve">Gift aid claimed is lower than budget, but only covers the period to 18/03/20. </t>
  </si>
  <si>
    <t>Payment towards parish share is higher as the standing order was not reduced until March.</t>
  </si>
  <si>
    <t>in early April.</t>
  </si>
  <si>
    <t>Expenditure has been less than expected on repairs (including QQ works) but £1,088 was paid for windows</t>
  </si>
  <si>
    <t>Some could be delayed</t>
  </si>
  <si>
    <t>Could reduce but some increase due to giving campaign</t>
  </si>
  <si>
    <t>1 Jan - 31 December 2020</t>
  </si>
  <si>
    <t>Amounts payable</t>
  </si>
  <si>
    <t>Inc urban saints sub</t>
  </si>
  <si>
    <t>giving campaign and lettings being £1,300 above expectation for the first quarter.  No rents received in April or May.</t>
  </si>
  <si>
    <t>Expenditure has been less than expected on repairs due to the slow down in activity during lockdown.</t>
  </si>
  <si>
    <t>(£1,362 included in Other Funds above)</t>
  </si>
  <si>
    <t>CYFM Restricted Fund now fully utilised.</t>
  </si>
  <si>
    <t>1 January to 31 July 2020</t>
  </si>
  <si>
    <t>7 mths to</t>
  </si>
  <si>
    <t>1 Jan - 31 July 2020</t>
  </si>
  <si>
    <t>Last claimed 24/06/20</t>
  </si>
  <si>
    <t>(not adjusted for £560 of advance payments to Friary)</t>
  </si>
  <si>
    <t xml:space="preserve">Gift aid claimed is lower than budget, but only covers the period to 26/06/20.  </t>
  </si>
  <si>
    <t>Willow rent restarted in June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</si>
</sst>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[Red]\+#,##0;\-#,##0;"/>
    <numFmt numFmtId="166" formatCode="\+#,##0;[Red]\-#,##0;"/>
    <numFmt numFmtId="167" formatCode="#,##0;[Red]\-#,##0;"/>
    <numFmt numFmtId="168" formatCode="&quot;£&quot;#,##0;[Red]\-&quot;£&quot;#,##0;\-"/>
    <numFmt numFmtId="169" formatCode="#,##0;[Red]\-#,##0;\-"/>
    <numFmt numFmtId="170" formatCode="&quot;£&quot;#,##0"/>
    <numFmt numFmtId="171" formatCode="0.0%"/>
    <numFmt numFmtId="172" formatCode="#,##0;\(#,##0\)"/>
    <numFmt numFmtId="173" formatCode="[Red]#,##0;\-#,##0;"/>
    <numFmt numFmtId="174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B050"/>
      <name val="Arial"/>
      <family val="2"/>
    </font>
    <font>
      <sz val="14"/>
      <color rgb="FFFF0000"/>
      <name val="Arial"/>
      <family val="2"/>
    </font>
    <font>
      <b/>
      <sz val="12"/>
      <color rgb="FF00B050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294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wrapText="1"/>
    </xf>
    <xf numFmtId="164" fontId="3" fillId="0" borderId="0" xfId="1" applyNumberFormat="1" applyFont="1" applyFill="1" applyBorder="1"/>
    <xf numFmtId="164" fontId="6" fillId="0" borderId="0" xfId="1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3" fillId="0" borderId="3" xfId="1" applyNumberFormat="1" applyFont="1" applyBorder="1"/>
    <xf numFmtId="164" fontId="3" fillId="0" borderId="3" xfId="1" applyNumberFormat="1" applyFont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2" xfId="1" applyNumberFormat="1" applyFont="1" applyBorder="1"/>
    <xf numFmtId="164" fontId="3" fillId="0" borderId="2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6" borderId="2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4" fontId="3" fillId="0" borderId="0" xfId="1" applyNumberFormat="1" applyFont="1" applyBorder="1"/>
    <xf numFmtId="164" fontId="3" fillId="6" borderId="1" xfId="1" applyNumberFormat="1" applyFont="1" applyFill="1" applyBorder="1" applyAlignment="1">
      <alignment horizontal="center"/>
    </xf>
    <xf numFmtId="164" fontId="3" fillId="6" borderId="2" xfId="1" applyNumberFormat="1" applyFont="1" applyFill="1" applyBorder="1" applyAlignment="1">
      <alignment horizontal="center"/>
    </xf>
    <xf numFmtId="164" fontId="3" fillId="6" borderId="0" xfId="1" applyNumberFormat="1" applyFont="1" applyFill="1"/>
    <xf numFmtId="164" fontId="3" fillId="6" borderId="0" xfId="1" applyNumberFormat="1" applyFont="1" applyFill="1" applyAlignment="1">
      <alignment horizontal="center"/>
    </xf>
    <xf numFmtId="164" fontId="6" fillId="2" borderId="3" xfId="1" applyNumberFormat="1" applyFont="1" applyFill="1" applyBorder="1"/>
    <xf numFmtId="164" fontId="6" fillId="2" borderId="3" xfId="1" applyNumberFormat="1" applyFont="1" applyFill="1" applyBorder="1" applyAlignment="1">
      <alignment horizontal="center"/>
    </xf>
    <xf numFmtId="164" fontId="3" fillId="0" borderId="6" xfId="1" applyNumberFormat="1" applyFont="1" applyBorder="1"/>
    <xf numFmtId="164" fontId="3" fillId="0" borderId="6" xfId="1" applyNumberFormat="1" applyFont="1" applyBorder="1" applyAlignment="1">
      <alignment horizontal="center"/>
    </xf>
    <xf numFmtId="164" fontId="3" fillId="4" borderId="1" xfId="1" applyNumberFormat="1" applyFont="1" applyFill="1" applyBorder="1"/>
    <xf numFmtId="164" fontId="3" fillId="4" borderId="1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3" fillId="0" borderId="7" xfId="1" applyNumberFormat="1" applyFont="1" applyBorder="1"/>
    <xf numFmtId="164" fontId="3" fillId="0" borderId="7" xfId="1" applyNumberFormat="1" applyFont="1" applyBorder="1" applyAlignment="1">
      <alignment horizontal="center"/>
    </xf>
    <xf numFmtId="164" fontId="3" fillId="0" borderId="14" xfId="1" applyNumberFormat="1" applyFont="1" applyBorder="1"/>
    <xf numFmtId="164" fontId="3" fillId="0" borderId="14" xfId="1" applyNumberFormat="1" applyFont="1" applyBorder="1" applyAlignment="1">
      <alignment horizontal="center"/>
    </xf>
    <xf numFmtId="164" fontId="3" fillId="0" borderId="8" xfId="1" applyNumberFormat="1" applyFont="1" applyBorder="1"/>
    <xf numFmtId="164" fontId="3" fillId="5" borderId="19" xfId="1" applyNumberFormat="1" applyFont="1" applyFill="1" applyBorder="1"/>
    <xf numFmtId="164" fontId="3" fillId="0" borderId="11" xfId="1" applyNumberFormat="1" applyFont="1" applyBorder="1"/>
    <xf numFmtId="164" fontId="6" fillId="0" borderId="0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wrapText="1"/>
    </xf>
    <xf numFmtId="164" fontId="5" fillId="0" borderId="0" xfId="1" applyNumberFormat="1" applyFont="1" applyBorder="1"/>
    <xf numFmtId="164" fontId="3" fillId="7" borderId="19" xfId="1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11" fillId="2" borderId="3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164" fontId="8" fillId="0" borderId="14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164" fontId="8" fillId="0" borderId="25" xfId="1" applyNumberFormat="1" applyFont="1" applyBorder="1" applyAlignment="1"/>
    <xf numFmtId="164" fontId="13" fillId="2" borderId="3" xfId="1" applyNumberFormat="1" applyFont="1" applyFill="1" applyBorder="1" applyAlignment="1">
      <alignment horizontal="center"/>
    </xf>
    <xf numFmtId="164" fontId="12" fillId="5" borderId="19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/>
    <xf numFmtId="164" fontId="8" fillId="0" borderId="2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164" fontId="10" fillId="0" borderId="0" xfId="1" applyNumberFormat="1" applyFont="1"/>
    <xf numFmtId="164" fontId="8" fillId="0" borderId="0" xfId="1" applyNumberFormat="1" applyFont="1" applyFill="1" applyBorder="1"/>
    <xf numFmtId="164" fontId="8" fillId="0" borderId="1" xfId="1" applyNumberFormat="1" applyFont="1" applyFill="1" applyBorder="1"/>
    <xf numFmtId="164" fontId="8" fillId="0" borderId="3" xfId="1" applyNumberFormat="1" applyFont="1" applyBorder="1"/>
    <xf numFmtId="164" fontId="8" fillId="0" borderId="9" xfId="1" applyNumberFormat="1" applyFont="1" applyFill="1" applyBorder="1"/>
    <xf numFmtId="164" fontId="10" fillId="0" borderId="0" xfId="1" applyNumberFormat="1" applyFont="1" applyFill="1" applyBorder="1"/>
    <xf numFmtId="164" fontId="11" fillId="0" borderId="0" xfId="1" applyNumberFormat="1" applyFont="1" applyFill="1" applyBorder="1"/>
    <xf numFmtId="164" fontId="17" fillId="0" borderId="4" xfId="1" applyNumberFormat="1" applyFont="1" applyFill="1" applyBorder="1"/>
    <xf numFmtId="164" fontId="14" fillId="6" borderId="5" xfId="1" applyNumberFormat="1" applyFont="1" applyFill="1" applyBorder="1"/>
    <xf numFmtId="164" fontId="14" fillId="6" borderId="4" xfId="1" applyNumberFormat="1" applyFont="1" applyFill="1" applyBorder="1"/>
    <xf numFmtId="164" fontId="11" fillId="2" borderId="3" xfId="1" applyNumberFormat="1" applyFont="1" applyFill="1" applyBorder="1"/>
    <xf numFmtId="164" fontId="8" fillId="0" borderId="6" xfId="1" applyNumberFormat="1" applyFont="1" applyBorder="1"/>
    <xf numFmtId="164" fontId="9" fillId="4" borderId="1" xfId="1" applyNumberFormat="1" applyFont="1" applyFill="1" applyBorder="1"/>
    <xf numFmtId="164" fontId="8" fillId="0" borderId="0" xfId="1" applyNumberFormat="1" applyFont="1"/>
    <xf numFmtId="164" fontId="8" fillId="0" borderId="0" xfId="1" applyNumberFormat="1" applyFont="1" applyBorder="1"/>
    <xf numFmtId="164" fontId="8" fillId="0" borderId="2" xfId="1" applyNumberFormat="1" applyFont="1" applyBorder="1"/>
    <xf numFmtId="164" fontId="8" fillId="2" borderId="3" xfId="1" applyNumberFormat="1" applyFont="1" applyFill="1" applyBorder="1"/>
    <xf numFmtId="164" fontId="8" fillId="0" borderId="7" xfId="1" applyNumberFormat="1" applyFont="1" applyFill="1" applyBorder="1"/>
    <xf numFmtId="164" fontId="9" fillId="0" borderId="13" xfId="1" applyNumberFormat="1" applyFont="1" applyBorder="1"/>
    <xf numFmtId="164" fontId="8" fillId="0" borderId="16" xfId="1" applyNumberFormat="1" applyFont="1" applyBorder="1"/>
    <xf numFmtId="164" fontId="8" fillId="5" borderId="18" xfId="1" applyNumberFormat="1" applyFont="1" applyFill="1" applyBorder="1"/>
    <xf numFmtId="164" fontId="8" fillId="0" borderId="13" xfId="1" applyNumberFormat="1" applyFont="1" applyFill="1" applyBorder="1"/>
    <xf numFmtId="164" fontId="8" fillId="0" borderId="16" xfId="1" applyNumberFormat="1" applyFont="1" applyFill="1" applyBorder="1"/>
    <xf numFmtId="164" fontId="8" fillId="0" borderId="22" xfId="1" applyNumberFormat="1" applyFont="1" applyFill="1" applyBorder="1"/>
    <xf numFmtId="164" fontId="17" fillId="0" borderId="16" xfId="1" applyNumberFormat="1" applyFont="1" applyFill="1" applyBorder="1"/>
    <xf numFmtId="164" fontId="9" fillId="0" borderId="24" xfId="1" applyNumberFormat="1" applyFont="1" applyFill="1" applyBorder="1"/>
    <xf numFmtId="164" fontId="9" fillId="0" borderId="3" xfId="1" applyNumberFormat="1" applyFont="1" applyBorder="1" applyAlignment="1">
      <alignment horizontal="center"/>
    </xf>
    <xf numFmtId="164" fontId="9" fillId="0" borderId="2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164" fontId="10" fillId="0" borderId="12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7" borderId="19" xfId="1" applyNumberFormat="1" applyFont="1" applyFill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0" fontId="17" fillId="3" borderId="2" xfId="1" applyNumberFormat="1" applyFont="1" applyFill="1" applyBorder="1" applyAlignment="1">
      <alignment horizontal="center" wrapText="1"/>
    </xf>
    <xf numFmtId="0" fontId="17" fillId="4" borderId="2" xfId="1" applyNumberFormat="1" applyFont="1" applyFill="1" applyBorder="1" applyAlignment="1">
      <alignment horizontal="center"/>
    </xf>
    <xf numFmtId="164" fontId="8" fillId="0" borderId="14" xfId="1" applyNumberFormat="1" applyFont="1" applyBorder="1" applyAlignment="1"/>
    <xf numFmtId="164" fontId="8" fillId="0" borderId="14" xfId="1" applyNumberFormat="1" applyFont="1" applyBorder="1"/>
    <xf numFmtId="164" fontId="8" fillId="0" borderId="11" xfId="1" applyNumberFormat="1" applyFont="1" applyBorder="1"/>
    <xf numFmtId="164" fontId="8" fillId="0" borderId="15" xfId="1" applyNumberFormat="1" applyFont="1" applyBorder="1" applyAlignment="1"/>
    <xf numFmtId="164" fontId="8" fillId="0" borderId="17" xfId="1" applyNumberFormat="1" applyFont="1" applyBorder="1"/>
    <xf numFmtId="164" fontId="8" fillId="0" borderId="15" xfId="1" applyNumberFormat="1" applyFont="1" applyBorder="1"/>
    <xf numFmtId="164" fontId="8" fillId="0" borderId="23" xfId="1" applyNumberFormat="1" applyFont="1" applyBorder="1"/>
    <xf numFmtId="164" fontId="8" fillId="0" borderId="0" xfId="1" applyNumberFormat="1" applyFont="1" applyFill="1" applyBorder="1" applyAlignment="1">
      <alignment horizontal="center"/>
    </xf>
    <xf numFmtId="164" fontId="9" fillId="3" borderId="9" xfId="1" applyNumberFormat="1" applyFont="1" applyFill="1" applyBorder="1" applyAlignment="1">
      <alignment wrapText="1"/>
    </xf>
    <xf numFmtId="0" fontId="7" fillId="3" borderId="2" xfId="1" applyNumberFormat="1" applyFont="1" applyFill="1" applyBorder="1" applyAlignment="1">
      <alignment wrapText="1"/>
    </xf>
    <xf numFmtId="0" fontId="7" fillId="3" borderId="2" xfId="1" applyNumberFormat="1" applyFont="1" applyFill="1" applyBorder="1" applyAlignment="1">
      <alignment horizontal="center" wrapText="1"/>
    </xf>
    <xf numFmtId="0" fontId="9" fillId="3" borderId="2" xfId="1" applyNumberFormat="1" applyFont="1" applyFill="1" applyBorder="1" applyAlignment="1">
      <alignment horizontal="center" wrapText="1"/>
    </xf>
    <xf numFmtId="0" fontId="17" fillId="3" borderId="10" xfId="1" applyNumberFormat="1" applyFont="1" applyFill="1" applyBorder="1" applyAlignment="1">
      <alignment horizontal="center" wrapText="1"/>
    </xf>
    <xf numFmtId="164" fontId="12" fillId="5" borderId="20" xfId="1" applyNumberFormat="1" applyFont="1" applyFill="1" applyBorder="1" applyAlignment="1">
      <alignment horizontal="center"/>
    </xf>
    <xf numFmtId="164" fontId="8" fillId="0" borderId="17" xfId="1" applyNumberFormat="1" applyFont="1" applyFill="1" applyBorder="1" applyAlignment="1">
      <alignment horizontal="center"/>
    </xf>
    <xf numFmtId="0" fontId="17" fillId="3" borderId="1" xfId="1" applyNumberFormat="1" applyFont="1" applyFill="1" applyBorder="1" applyAlignment="1">
      <alignment horizontal="center" wrapText="1"/>
    </xf>
    <xf numFmtId="164" fontId="8" fillId="0" borderId="14" xfId="1" applyNumberFormat="1" applyFont="1" applyFill="1" applyBorder="1"/>
    <xf numFmtId="164" fontId="8" fillId="0" borderId="1" xfId="1" applyNumberFormat="1" applyFont="1" applyBorder="1"/>
    <xf numFmtId="164" fontId="9" fillId="0" borderId="0" xfId="1" applyNumberFormat="1" applyFont="1"/>
    <xf numFmtId="0" fontId="17" fillId="3" borderId="0" xfId="1" applyNumberFormat="1" applyFont="1" applyFill="1" applyBorder="1" applyAlignment="1">
      <alignment horizontal="center" wrapText="1"/>
    </xf>
    <xf numFmtId="164" fontId="0" fillId="0" borderId="0" xfId="0" applyNumberFormat="1"/>
    <xf numFmtId="43" fontId="0" fillId="0" borderId="0" xfId="0" applyNumberFormat="1"/>
    <xf numFmtId="165" fontId="17" fillId="3" borderId="1" xfId="1" applyNumberFormat="1" applyFont="1" applyFill="1" applyBorder="1" applyAlignment="1">
      <alignment horizontal="right" wrapText="1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13" fillId="2" borderId="3" xfId="1" applyNumberFormat="1" applyFont="1" applyFill="1" applyBorder="1" applyAlignment="1">
      <alignment horizontal="right"/>
    </xf>
    <xf numFmtId="165" fontId="17" fillId="4" borderId="2" xfId="1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6" fontId="8" fillId="0" borderId="0" xfId="1" applyNumberFormat="1" applyFont="1" applyBorder="1" applyAlignment="1">
      <alignment horizontal="right"/>
    </xf>
    <xf numFmtId="166" fontId="8" fillId="0" borderId="14" xfId="1" applyNumberFormat="1" applyFont="1" applyBorder="1" applyAlignment="1">
      <alignment horizontal="right"/>
    </xf>
    <xf numFmtId="166" fontId="12" fillId="5" borderId="19" xfId="1" applyNumberFormat="1" applyFont="1" applyFill="1" applyBorder="1" applyAlignment="1">
      <alignment horizontal="right"/>
    </xf>
    <xf numFmtId="164" fontId="9" fillId="2" borderId="3" xfId="1" applyNumberFormat="1" applyFont="1" applyFill="1" applyBorder="1"/>
    <xf numFmtId="164" fontId="9" fillId="2" borderId="3" xfId="1" applyNumberFormat="1" applyFont="1" applyFill="1" applyBorder="1" applyAlignment="1">
      <alignment horizontal="center"/>
    </xf>
    <xf numFmtId="164" fontId="9" fillId="0" borderId="7" xfId="1" applyNumberFormat="1" applyFont="1" applyFill="1" applyBorder="1"/>
    <xf numFmtId="164" fontId="9" fillId="0" borderId="7" xfId="1" applyNumberFormat="1" applyFont="1" applyBorder="1" applyAlignment="1">
      <alignment horizontal="center"/>
    </xf>
    <xf numFmtId="167" fontId="8" fillId="0" borderId="14" xfId="1" applyNumberFormat="1" applyFont="1" applyBorder="1" applyAlignment="1"/>
    <xf numFmtId="167" fontId="17" fillId="3" borderId="1" xfId="1" applyNumberFormat="1" applyFont="1" applyFill="1" applyBorder="1" applyAlignment="1">
      <alignment wrapText="1"/>
    </xf>
    <xf numFmtId="167" fontId="8" fillId="0" borderId="0" xfId="1" applyNumberFormat="1" applyFont="1" applyAlignment="1"/>
    <xf numFmtId="167" fontId="8" fillId="0" borderId="0" xfId="1" applyNumberFormat="1" applyFont="1" applyBorder="1" applyAlignment="1"/>
    <xf numFmtId="167" fontId="17" fillId="4" borderId="2" xfId="1" applyNumberFormat="1" applyFont="1" applyFill="1" applyBorder="1" applyAlignment="1"/>
    <xf numFmtId="167" fontId="0" fillId="0" borderId="0" xfId="0" applyNumberFormat="1" applyAlignment="1"/>
    <xf numFmtId="167" fontId="8" fillId="0" borderId="0" xfId="1" applyNumberFormat="1" applyFont="1" applyFill="1" applyBorder="1" applyAlignment="1"/>
    <xf numFmtId="168" fontId="8" fillId="0" borderId="0" xfId="1" applyNumberFormat="1" applyFont="1" applyAlignment="1"/>
    <xf numFmtId="168" fontId="8" fillId="0" borderId="3" xfId="1" applyNumberFormat="1" applyFont="1" applyBorder="1" applyAlignment="1"/>
    <xf numFmtId="168" fontId="8" fillId="0" borderId="0" xfId="1" applyNumberFormat="1" applyFont="1" applyBorder="1" applyAlignment="1"/>
    <xf numFmtId="168" fontId="13" fillId="2" borderId="3" xfId="1" applyNumberFormat="1" applyFont="1" applyFill="1" applyBorder="1" applyAlignment="1"/>
    <xf numFmtId="168" fontId="17" fillId="4" borderId="2" xfId="1" applyNumberFormat="1" applyFont="1" applyFill="1" applyBorder="1" applyAlignment="1"/>
    <xf numFmtId="168" fontId="8" fillId="0" borderId="1" xfId="1" applyNumberFormat="1" applyFont="1" applyBorder="1" applyAlignment="1"/>
    <xf numFmtId="168" fontId="8" fillId="0" borderId="2" xfId="1" applyNumberFormat="1" applyFont="1" applyBorder="1" applyAlignment="1"/>
    <xf numFmtId="168" fontId="9" fillId="0" borderId="7" xfId="1" applyNumberFormat="1" applyFont="1" applyBorder="1" applyAlignment="1"/>
    <xf numFmtId="168" fontId="8" fillId="0" borderId="14" xfId="1" applyNumberFormat="1" applyFont="1" applyBorder="1" applyAlignment="1"/>
    <xf numFmtId="168" fontId="12" fillId="5" borderId="19" xfId="1" applyNumberFormat="1" applyFont="1" applyFill="1" applyBorder="1" applyAlignment="1"/>
    <xf numFmtId="168" fontId="0" fillId="0" borderId="0" xfId="0" applyNumberFormat="1" applyAlignment="1"/>
    <xf numFmtId="168" fontId="8" fillId="0" borderId="14" xfId="1" applyNumberFormat="1" applyFont="1" applyFill="1" applyBorder="1" applyAlignment="1"/>
    <xf numFmtId="168" fontId="8" fillId="0" borderId="0" xfId="1" applyNumberFormat="1" applyFont="1" applyFill="1" applyBorder="1" applyAlignment="1"/>
    <xf numFmtId="169" fontId="8" fillId="0" borderId="0" xfId="1" applyNumberFormat="1" applyFont="1" applyAlignment="1">
      <alignment horizontal="right"/>
    </xf>
    <xf numFmtId="169" fontId="8" fillId="0" borderId="3" xfId="1" applyNumberFormat="1" applyFont="1" applyBorder="1" applyAlignment="1">
      <alignment horizontal="right"/>
    </xf>
    <xf numFmtId="169" fontId="8" fillId="0" borderId="0" xfId="1" applyNumberFormat="1" applyFont="1" applyBorder="1" applyAlignment="1">
      <alignment horizontal="right"/>
    </xf>
    <xf numFmtId="169" fontId="17" fillId="4" borderId="2" xfId="1" applyNumberFormat="1" applyFont="1" applyFill="1" applyBorder="1" applyAlignment="1">
      <alignment horizontal="right"/>
    </xf>
    <xf numFmtId="169" fontId="8" fillId="0" borderId="2" xfId="1" applyNumberFormat="1" applyFont="1" applyBorder="1" applyAlignment="1">
      <alignment horizontal="right"/>
    </xf>
    <xf numFmtId="169" fontId="9" fillId="0" borderId="7" xfId="1" applyNumberFormat="1" applyFont="1" applyBorder="1" applyAlignment="1">
      <alignment horizontal="right"/>
    </xf>
    <xf numFmtId="169" fontId="8" fillId="0" borderId="14" xfId="1" applyNumberFormat="1" applyFont="1" applyBorder="1" applyAlignment="1">
      <alignment horizontal="right"/>
    </xf>
    <xf numFmtId="169" fontId="12" fillId="5" borderId="19" xfId="1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8" fillId="0" borderId="14" xfId="1" applyNumberFormat="1" applyFont="1" applyFill="1" applyBorder="1" applyAlignment="1">
      <alignment horizontal="right"/>
    </xf>
    <xf numFmtId="169" fontId="8" fillId="0" borderId="1" xfId="1" applyNumberFormat="1" applyFont="1" applyBorder="1" applyAlignment="1">
      <alignment horizontal="right"/>
    </xf>
    <xf numFmtId="169" fontId="8" fillId="0" borderId="0" xfId="1" applyNumberFormat="1" applyFont="1" applyFill="1" applyBorder="1" applyAlignment="1">
      <alignment horizontal="right"/>
    </xf>
    <xf numFmtId="169" fontId="8" fillId="0" borderId="25" xfId="1" applyNumberFormat="1" applyFont="1" applyBorder="1" applyAlignment="1">
      <alignment horizontal="right"/>
    </xf>
    <xf numFmtId="169" fontId="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168" fontId="17" fillId="3" borderId="1" xfId="1" applyNumberFormat="1" applyFont="1" applyFill="1" applyBorder="1" applyAlignment="1">
      <alignment horizontal="center" wrapText="1"/>
    </xf>
    <xf numFmtId="164" fontId="18" fillId="2" borderId="3" xfId="1" applyNumberFormat="1" applyFont="1" applyFill="1" applyBorder="1"/>
    <xf numFmtId="169" fontId="19" fillId="2" borderId="3" xfId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0" fontId="17" fillId="4" borderId="2" xfId="1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171" fontId="8" fillId="0" borderId="0" xfId="2" applyNumberFormat="1" applyFont="1" applyBorder="1"/>
    <xf numFmtId="169" fontId="0" fillId="0" borderId="0" xfId="0" applyNumberFormat="1"/>
    <xf numFmtId="0" fontId="22" fillId="0" borderId="13" xfId="0" applyFont="1" applyBorder="1"/>
    <xf numFmtId="0" fontId="0" fillId="0" borderId="15" xfId="0" applyBorder="1"/>
    <xf numFmtId="0" fontId="20" fillId="0" borderId="16" xfId="3" applyNumberFormat="1" applyFont="1" applyFill="1" applyBorder="1" applyAlignment="1" applyProtection="1">
      <protection locked="0"/>
    </xf>
    <xf numFmtId="170" fontId="20" fillId="0" borderId="17" xfId="3" applyNumberFormat="1" applyFont="1" applyFill="1" applyBorder="1" applyAlignment="1" applyProtection="1">
      <protection locked="0"/>
    </xf>
    <xf numFmtId="170" fontId="20" fillId="6" borderId="17" xfId="3" applyNumberFormat="1" applyFont="1" applyFill="1" applyBorder="1" applyAlignment="1" applyProtection="1">
      <alignment horizontal="right"/>
      <protection locked="0"/>
    </xf>
    <xf numFmtId="170" fontId="21" fillId="0" borderId="17" xfId="3" applyNumberFormat="1" applyFont="1" applyFill="1" applyBorder="1" applyAlignment="1" applyProtection="1">
      <protection locked="0"/>
    </xf>
    <xf numFmtId="170" fontId="20" fillId="0" borderId="27" xfId="3" applyNumberFormat="1" applyFont="1" applyFill="1" applyBorder="1" applyAlignment="1" applyProtection="1">
      <protection locked="0"/>
    </xf>
    <xf numFmtId="0" fontId="0" fillId="0" borderId="24" xfId="0" applyBorder="1"/>
    <xf numFmtId="0" fontId="0" fillId="0" borderId="26" xfId="0" applyBorder="1"/>
    <xf numFmtId="164" fontId="8" fillId="0" borderId="0" xfId="1" applyNumberFormat="1" applyFont="1" applyFill="1" applyAlignment="1">
      <alignment horizontal="center"/>
    </xf>
    <xf numFmtId="169" fontId="8" fillId="6" borderId="0" xfId="1" applyNumberFormat="1" applyFont="1" applyFill="1" applyAlignment="1">
      <alignment horizontal="right"/>
    </xf>
    <xf numFmtId="169" fontId="8" fillId="0" borderId="0" xfId="1" applyNumberFormat="1" applyFont="1" applyFill="1" applyAlignment="1">
      <alignment horizontal="right"/>
    </xf>
    <xf numFmtId="169" fontId="8" fillId="0" borderId="3" xfId="1" applyNumberFormat="1" applyFont="1" applyFill="1" applyBorder="1" applyAlignment="1">
      <alignment horizontal="right"/>
    </xf>
    <xf numFmtId="169" fontId="8" fillId="0" borderId="2" xfId="1" applyNumberFormat="1" applyFont="1" applyFill="1" applyBorder="1" applyAlignment="1">
      <alignment horizontal="right"/>
    </xf>
    <xf numFmtId="167" fontId="17" fillId="3" borderId="1" xfId="1" applyNumberFormat="1" applyFont="1" applyFill="1" applyBorder="1" applyAlignment="1">
      <alignment horizontal="right" wrapText="1"/>
    </xf>
    <xf numFmtId="167" fontId="8" fillId="0" borderId="0" xfId="1" applyNumberFormat="1" applyFont="1" applyAlignment="1">
      <alignment horizontal="right"/>
    </xf>
    <xf numFmtId="167" fontId="8" fillId="0" borderId="0" xfId="1" applyNumberFormat="1" applyFont="1" applyBorder="1" applyAlignment="1">
      <alignment horizontal="right"/>
    </xf>
    <xf numFmtId="167" fontId="17" fillId="4" borderId="2" xfId="1" applyNumberFormat="1" applyFont="1" applyFill="1" applyBorder="1" applyAlignment="1">
      <alignment horizontal="right"/>
    </xf>
    <xf numFmtId="167" fontId="8" fillId="0" borderId="1" xfId="1" applyNumberFormat="1" applyFont="1" applyBorder="1" applyAlignment="1">
      <alignment horizontal="right"/>
    </xf>
    <xf numFmtId="167" fontId="8" fillId="0" borderId="2" xfId="1" applyNumberFormat="1" applyFont="1" applyBorder="1" applyAlignment="1">
      <alignment horizontal="right"/>
    </xf>
    <xf numFmtId="167" fontId="8" fillId="2" borderId="3" xfId="1" applyNumberFormat="1" applyFont="1" applyFill="1" applyBorder="1" applyAlignment="1">
      <alignment horizontal="right"/>
    </xf>
    <xf numFmtId="167" fontId="8" fillId="0" borderId="7" xfId="1" applyNumberFormat="1" applyFont="1" applyBorder="1" applyAlignment="1">
      <alignment horizontal="right"/>
    </xf>
    <xf numFmtId="167" fontId="8" fillId="0" borderId="14" xfId="1" applyNumberFormat="1" applyFont="1" applyBorder="1" applyAlignment="1">
      <alignment horizontal="right"/>
    </xf>
    <xf numFmtId="167" fontId="12" fillId="5" borderId="19" xfId="1" applyNumberFormat="1" applyFon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7" fontId="8" fillId="0" borderId="14" xfId="1" applyNumberFormat="1" applyFont="1" applyFill="1" applyBorder="1" applyAlignment="1">
      <alignment horizontal="right"/>
    </xf>
    <xf numFmtId="167" fontId="8" fillId="0" borderId="0" xfId="1" applyNumberFormat="1" applyFont="1" applyFill="1" applyBorder="1" applyAlignment="1">
      <alignment horizontal="right"/>
    </xf>
    <xf numFmtId="164" fontId="8" fillId="5" borderId="16" xfId="1" applyNumberFormat="1" applyFont="1" applyFill="1" applyBorder="1"/>
    <xf numFmtId="164" fontId="12" fillId="5" borderId="0" xfId="1" applyNumberFormat="1" applyFont="1" applyFill="1" applyBorder="1" applyAlignment="1">
      <alignment horizontal="center"/>
    </xf>
    <xf numFmtId="15" fontId="0" fillId="0" borderId="0" xfId="0" applyNumberFormat="1"/>
    <xf numFmtId="164" fontId="14" fillId="0" borderId="0" xfId="1" applyNumberFormat="1" applyFont="1" applyFill="1" applyBorder="1"/>
    <xf numFmtId="43" fontId="3" fillId="0" borderId="0" xfId="1" applyNumberFormat="1" applyFont="1"/>
    <xf numFmtId="172" fontId="8" fillId="0" borderId="0" xfId="1" applyNumberFormat="1" applyFont="1"/>
    <xf numFmtId="164" fontId="9" fillId="0" borderId="8" xfId="1" applyNumberFormat="1" applyFont="1" applyBorder="1"/>
    <xf numFmtId="164" fontId="9" fillId="0" borderId="3" xfId="1" applyNumberFormat="1" applyFont="1" applyBorder="1"/>
    <xf numFmtId="164" fontId="8" fillId="0" borderId="25" xfId="1" applyNumberFormat="1" applyFont="1" applyBorder="1"/>
    <xf numFmtId="164" fontId="3" fillId="0" borderId="14" xfId="1" applyNumberFormat="1" applyFont="1" applyFill="1" applyBorder="1"/>
    <xf numFmtId="164" fontId="3" fillId="0" borderId="14" xfId="1" applyNumberFormat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164" fontId="12" fillId="0" borderId="14" xfId="1" applyNumberFormat="1" applyFont="1" applyFill="1" applyBorder="1" applyAlignment="1">
      <alignment horizontal="center"/>
    </xf>
    <xf numFmtId="164" fontId="9" fillId="5" borderId="24" xfId="1" applyNumberFormat="1" applyFont="1" applyFill="1" applyBorder="1"/>
    <xf numFmtId="164" fontId="3" fillId="5" borderId="25" xfId="1" applyNumberFormat="1" applyFont="1" applyFill="1" applyBorder="1"/>
    <xf numFmtId="164" fontId="3" fillId="5" borderId="25" xfId="1" applyNumberFormat="1" applyFont="1" applyFill="1" applyBorder="1" applyAlignment="1">
      <alignment horizontal="center"/>
    </xf>
    <xf numFmtId="164" fontId="8" fillId="5" borderId="25" xfId="1" applyNumberFormat="1" applyFont="1" applyFill="1" applyBorder="1" applyAlignment="1">
      <alignment horizontal="center"/>
    </xf>
    <xf numFmtId="164" fontId="8" fillId="5" borderId="25" xfId="1" applyNumberFormat="1" applyFont="1" applyFill="1" applyBorder="1" applyAlignment="1"/>
    <xf numFmtId="164" fontId="8" fillId="5" borderId="26" xfId="1" applyNumberFormat="1" applyFont="1" applyFill="1" applyBorder="1" applyAlignment="1"/>
    <xf numFmtId="164" fontId="8" fillId="5" borderId="2" xfId="1" applyNumberFormat="1" applyFont="1" applyFill="1" applyBorder="1"/>
    <xf numFmtId="0" fontId="0" fillId="0" borderId="0" xfId="0" quotePrefix="1"/>
    <xf numFmtId="164" fontId="18" fillId="4" borderId="24" xfId="1" applyNumberFormat="1" applyFont="1" applyFill="1" applyBorder="1"/>
    <xf numFmtId="164" fontId="18" fillId="4" borderId="25" xfId="1" applyNumberFormat="1" applyFont="1" applyFill="1" applyBorder="1" applyAlignment="1"/>
    <xf numFmtId="167" fontId="18" fillId="4" borderId="25" xfId="1" applyNumberFormat="1" applyFont="1" applyFill="1" applyBorder="1" applyAlignment="1">
      <alignment horizontal="right"/>
    </xf>
    <xf numFmtId="164" fontId="9" fillId="0" borderId="0" xfId="1" applyNumberFormat="1" applyFont="1" applyAlignment="1">
      <alignment horizontal="center"/>
    </xf>
    <xf numFmtId="167" fontId="9" fillId="0" borderId="0" xfId="1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164" fontId="8" fillId="0" borderId="0" xfId="0" applyNumberFormat="1" applyFont="1"/>
    <xf numFmtId="164" fontId="8" fillId="0" borderId="1" xfId="0" applyNumberFormat="1" applyFont="1" applyBorder="1"/>
    <xf numFmtId="173" fontId="8" fillId="0" borderId="0" xfId="1" applyNumberFormat="1" applyFont="1" applyAlignment="1">
      <alignment horizontal="right"/>
    </xf>
    <xf numFmtId="173" fontId="8" fillId="0" borderId="3" xfId="1" applyNumberFormat="1" applyFont="1" applyBorder="1" applyAlignment="1">
      <alignment horizontal="right"/>
    </xf>
    <xf numFmtId="173" fontId="8" fillId="0" borderId="0" xfId="1" applyNumberFormat="1" applyFont="1" applyBorder="1" applyAlignment="1">
      <alignment horizontal="right"/>
    </xf>
    <xf numFmtId="173" fontId="13" fillId="2" borderId="3" xfId="1" applyNumberFormat="1" applyFont="1" applyFill="1" applyBorder="1" applyAlignment="1">
      <alignment horizontal="right"/>
    </xf>
    <xf numFmtId="164" fontId="8" fillId="0" borderId="8" xfId="1" applyNumberFormat="1" applyFont="1" applyBorder="1"/>
    <xf numFmtId="167" fontId="8" fillId="0" borderId="8" xfId="1" applyNumberFormat="1" applyFont="1" applyBorder="1" applyAlignment="1">
      <alignment horizontal="right"/>
    </xf>
    <xf numFmtId="3" fontId="8" fillId="0" borderId="0" xfId="0" applyNumberFormat="1" applyFont="1"/>
    <xf numFmtId="3" fontId="8" fillId="0" borderId="0" xfId="1" applyNumberFormat="1" applyFont="1"/>
    <xf numFmtId="3" fontId="8" fillId="0" borderId="3" xfId="1" applyNumberFormat="1" applyFont="1" applyBorder="1"/>
    <xf numFmtId="172" fontId="8" fillId="0" borderId="8" xfId="1" applyNumberFormat="1" applyFont="1" applyBorder="1"/>
    <xf numFmtId="3" fontId="8" fillId="0" borderId="1" xfId="0" applyNumberFormat="1" applyFont="1" applyBorder="1"/>
    <xf numFmtId="3" fontId="8" fillId="0" borderId="0" xfId="1" applyNumberFormat="1" applyFont="1" applyBorder="1"/>
    <xf numFmtId="167" fontId="23" fillId="0" borderId="0" xfId="1" applyNumberFormat="1" applyFont="1" applyAlignment="1">
      <alignment horizontal="right"/>
    </xf>
    <xf numFmtId="167" fontId="23" fillId="0" borderId="1" xfId="1" applyNumberFormat="1" applyFont="1" applyBorder="1" applyAlignment="1">
      <alignment horizontal="right"/>
    </xf>
    <xf numFmtId="167" fontId="23" fillId="0" borderId="8" xfId="1" applyNumberFormat="1" applyFont="1" applyBorder="1" applyAlignment="1">
      <alignment horizontal="right"/>
    </xf>
    <xf numFmtId="164" fontId="8" fillId="0" borderId="0" xfId="1" applyNumberFormat="1" applyFont="1" applyAlignment="1"/>
    <xf numFmtId="167" fontId="10" fillId="0" borderId="0" xfId="0" applyNumberFormat="1" applyFont="1"/>
    <xf numFmtId="167" fontId="3" fillId="0" borderId="0" xfId="1" applyNumberFormat="1" applyFont="1" applyAlignment="1"/>
    <xf numFmtId="164" fontId="17" fillId="0" borderId="28" xfId="1" applyNumberFormat="1" applyFont="1" applyFill="1" applyBorder="1"/>
    <xf numFmtId="0" fontId="9" fillId="0" borderId="0" xfId="0" applyFont="1" applyAlignment="1">
      <alignment horizontal="right"/>
    </xf>
    <xf numFmtId="164" fontId="9" fillId="0" borderId="0" xfId="1" applyNumberFormat="1" applyFont="1" applyAlignment="1">
      <alignment horizontal="right"/>
    </xf>
    <xf numFmtId="166" fontId="23" fillId="0" borderId="0" xfId="1" applyNumberFormat="1" applyFont="1" applyBorder="1" applyAlignment="1">
      <alignment horizontal="right"/>
    </xf>
    <xf numFmtId="166" fontId="23" fillId="0" borderId="2" xfId="1" applyNumberFormat="1" applyFont="1" applyBorder="1" applyAlignment="1">
      <alignment horizontal="right"/>
    </xf>
    <xf numFmtId="166" fontId="23" fillId="2" borderId="3" xfId="1" applyNumberFormat="1" applyFont="1" applyFill="1" applyBorder="1" applyAlignment="1">
      <alignment horizontal="right"/>
    </xf>
    <xf numFmtId="166" fontId="23" fillId="0" borderId="7" xfId="1" applyNumberFormat="1" applyFont="1" applyBorder="1" applyAlignment="1">
      <alignment horizontal="right"/>
    </xf>
    <xf numFmtId="165" fontId="23" fillId="0" borderId="0" xfId="1" applyNumberFormat="1" applyFont="1" applyAlignment="1">
      <alignment horizontal="right"/>
    </xf>
    <xf numFmtId="165" fontId="23" fillId="0" borderId="3" xfId="1" applyNumberFormat="1" applyFont="1" applyBorder="1" applyAlignment="1">
      <alignment horizontal="right"/>
    </xf>
    <xf numFmtId="165" fontId="23" fillId="0" borderId="0" xfId="1" applyNumberFormat="1" applyFont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0" fillId="0" borderId="0" xfId="1" applyNumberFormat="1" applyFont="1" applyBorder="1" applyAlignment="1">
      <alignment horizontal="right"/>
    </xf>
    <xf numFmtId="166" fontId="10" fillId="0" borderId="0" xfId="1" applyNumberFormat="1" applyFont="1" applyAlignment="1"/>
    <xf numFmtId="165" fontId="23" fillId="0" borderId="0" xfId="1" applyNumberFormat="1" applyFont="1" applyAlignment="1"/>
    <xf numFmtId="165" fontId="8" fillId="0" borderId="0" xfId="1" applyNumberFormat="1" applyFont="1" applyAlignment="1"/>
    <xf numFmtId="166" fontId="10" fillId="0" borderId="3" xfId="1" applyNumberFormat="1" applyFont="1" applyBorder="1" applyAlignment="1"/>
    <xf numFmtId="165" fontId="23" fillId="0" borderId="3" xfId="1" applyNumberFormat="1" applyFont="1" applyBorder="1" applyAlignment="1"/>
    <xf numFmtId="165" fontId="23" fillId="0" borderId="0" xfId="1" applyNumberFormat="1" applyFont="1" applyBorder="1" applyAlignment="1"/>
    <xf numFmtId="166" fontId="24" fillId="2" borderId="3" xfId="1" applyNumberFormat="1" applyFont="1" applyFill="1" applyBorder="1" applyAlignment="1"/>
    <xf numFmtId="166" fontId="23" fillId="0" borderId="0" xfId="1" applyNumberFormat="1" applyFont="1" applyBorder="1" applyAlignment="1"/>
    <xf numFmtId="165" fontId="10" fillId="0" borderId="0" xfId="1" applyNumberFormat="1" applyFont="1" applyBorder="1" applyAlignment="1"/>
    <xf numFmtId="166" fontId="23" fillId="0" borderId="2" xfId="1" applyNumberFormat="1" applyFont="1" applyBorder="1" applyAlignment="1"/>
    <xf numFmtId="166" fontId="25" fillId="2" borderId="3" xfId="1" applyNumberFormat="1" applyFont="1" applyFill="1" applyBorder="1" applyAlignment="1"/>
    <xf numFmtId="166" fontId="25" fillId="0" borderId="7" xfId="1" applyNumberFormat="1" applyFont="1" applyBorder="1" applyAlignment="1"/>
    <xf numFmtId="166" fontId="12" fillId="5" borderId="19" xfId="1" applyNumberFormat="1" applyFont="1" applyFill="1" applyBorder="1" applyAlignment="1"/>
    <xf numFmtId="165" fontId="23" fillId="0" borderId="14" xfId="1" applyNumberFormat="1" applyFont="1" applyFill="1" applyBorder="1" applyAlignment="1"/>
    <xf numFmtId="165" fontId="23" fillId="0" borderId="1" xfId="1" applyNumberFormat="1" applyFont="1" applyBorder="1" applyAlignment="1"/>
    <xf numFmtId="166" fontId="23" fillId="0" borderId="25" xfId="1" applyNumberFormat="1" applyFont="1" applyBorder="1" applyAlignment="1"/>
    <xf numFmtId="174" fontId="23" fillId="0" borderId="0" xfId="1" applyNumberFormat="1" applyFont="1" applyAlignment="1"/>
    <xf numFmtId="0" fontId="26" fillId="0" borderId="0" xfId="0" applyFont="1"/>
    <xf numFmtId="164" fontId="8" fillId="0" borderId="10" xfId="1" applyNumberFormat="1" applyFont="1" applyFill="1" applyBorder="1"/>
    <xf numFmtId="164" fontId="8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left"/>
    </xf>
    <xf numFmtId="172" fontId="8" fillId="0" borderId="7" xfId="1" applyNumberFormat="1" applyFont="1" applyBorder="1" applyAlignment="1">
      <alignment horizontal="right"/>
    </xf>
    <xf numFmtId="164" fontId="17" fillId="0" borderId="0" xfId="1" applyNumberFormat="1" applyFont="1" applyAlignment="1">
      <alignment horizontal="center"/>
    </xf>
    <xf numFmtId="164" fontId="14" fillId="0" borderId="0" xfId="1" applyNumberFormat="1" applyFont="1"/>
    <xf numFmtId="164" fontId="14" fillId="0" borderId="1" xfId="1" applyNumberFormat="1" applyFont="1" applyBorder="1"/>
    <xf numFmtId="172" fontId="14" fillId="0" borderId="8" xfId="1" applyNumberFormat="1" applyFont="1" applyBorder="1"/>
    <xf numFmtId="164" fontId="3" fillId="0" borderId="0" xfId="1" applyNumberFormat="1" applyFont="1" applyAlignment="1"/>
    <xf numFmtId="14" fontId="9" fillId="0" borderId="0" xfId="0" applyNumberFormat="1" applyFont="1" applyAlignment="1">
      <alignment horizontal="right"/>
    </xf>
    <xf numFmtId="0" fontId="7" fillId="0" borderId="0" xfId="0" applyFont="1"/>
    <xf numFmtId="165" fontId="10" fillId="0" borderId="0" xfId="1" applyNumberFormat="1" applyFont="1"/>
    <xf numFmtId="174" fontId="23" fillId="0" borderId="14" xfId="1" applyNumberFormat="1" applyFont="1" applyFill="1" applyBorder="1" applyAlignment="1">
      <alignment horizontal="right"/>
    </xf>
    <xf numFmtId="166" fontId="23" fillId="0" borderId="25" xfId="1" applyNumberFormat="1" applyFont="1" applyBorder="1" applyAlignment="1">
      <alignment horizontal="right"/>
    </xf>
    <xf numFmtId="165" fontId="23" fillId="0" borderId="1" xfId="1" applyNumberFormat="1" applyFont="1" applyBorder="1" applyAlignment="1">
      <alignment horizontal="right"/>
    </xf>
    <xf numFmtId="0" fontId="17" fillId="3" borderId="9" xfId="1" applyNumberFormat="1" applyFont="1" applyFill="1" applyBorder="1" applyAlignment="1">
      <alignment horizontal="center" wrapText="1"/>
    </xf>
    <xf numFmtId="0" fontId="17" fillId="3" borderId="2" xfId="1" applyNumberFormat="1" applyFont="1" applyFill="1" applyBorder="1" applyAlignment="1">
      <alignment horizontal="center" wrapText="1"/>
    </xf>
    <xf numFmtId="0" fontId="17" fillId="3" borderId="10" xfId="1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B22" sqref="B22"/>
    </sheetView>
  </sheetViews>
  <sheetFormatPr defaultRowHeight="15.75" x14ac:dyDescent="0.25"/>
  <cols>
    <col min="1" max="1" width="33.140625" style="70" bestFit="1" customWidth="1"/>
    <col min="2" max="3" width="16.42578125" style="161" customWidth="1"/>
    <col min="4" max="4" width="16.42578125" style="134" customWidth="1"/>
    <col min="5" max="5" width="25.85546875" style="165" customWidth="1"/>
    <col min="6" max="7" width="13.5703125" bestFit="1" customWidth="1"/>
  </cols>
  <sheetData>
    <row r="1" spans="1:6" x14ac:dyDescent="0.25">
      <c r="A1" s="57"/>
      <c r="B1" s="291" t="s">
        <v>84</v>
      </c>
      <c r="C1" s="292"/>
      <c r="D1" s="292"/>
      <c r="E1" s="293"/>
    </row>
    <row r="2" spans="1:6" x14ac:dyDescent="0.25">
      <c r="A2" s="100" t="s">
        <v>19</v>
      </c>
      <c r="B2" s="107" t="s">
        <v>59</v>
      </c>
      <c r="C2" s="107" t="s">
        <v>60</v>
      </c>
      <c r="D2" s="162" t="s">
        <v>61</v>
      </c>
      <c r="E2" s="107" t="s">
        <v>63</v>
      </c>
    </row>
    <row r="3" spans="1:6" x14ac:dyDescent="0.25">
      <c r="A3" s="58" t="s">
        <v>0</v>
      </c>
      <c r="B3" s="147">
        <f>Qrtly!G3</f>
        <v>1600</v>
      </c>
      <c r="C3" s="181">
        <v>1451</v>
      </c>
      <c r="D3" s="134">
        <f t="shared" ref="D3:D31" si="0">C3-B3</f>
        <v>-149</v>
      </c>
    </row>
    <row r="4" spans="1:6" x14ac:dyDescent="0.25">
      <c r="A4" s="58" t="s">
        <v>1</v>
      </c>
      <c r="B4" s="147">
        <f>Qrtly!G4</f>
        <v>4700</v>
      </c>
      <c r="C4" s="181">
        <f>2740+2521</f>
        <v>5261</v>
      </c>
      <c r="D4" s="134">
        <f t="shared" si="0"/>
        <v>561</v>
      </c>
    </row>
    <row r="5" spans="1:6" x14ac:dyDescent="0.25">
      <c r="A5" s="58" t="s">
        <v>2</v>
      </c>
      <c r="B5" s="147">
        <f>Qrtly!G5</f>
        <v>600</v>
      </c>
      <c r="C5" s="181">
        <v>564</v>
      </c>
      <c r="D5" s="134">
        <f t="shared" si="0"/>
        <v>-36</v>
      </c>
    </row>
    <row r="6" spans="1:6" ht="45" x14ac:dyDescent="0.25">
      <c r="A6" s="58" t="s">
        <v>3</v>
      </c>
      <c r="B6" s="147">
        <f>Qrtly!G6</f>
        <v>4000</v>
      </c>
      <c r="C6" s="182">
        <f>3049+1058</f>
        <v>4107</v>
      </c>
      <c r="D6" s="134">
        <f t="shared" si="0"/>
        <v>107</v>
      </c>
      <c r="E6" s="165" t="s">
        <v>71</v>
      </c>
    </row>
    <row r="7" spans="1:6" x14ac:dyDescent="0.25">
      <c r="A7" s="58" t="s">
        <v>4</v>
      </c>
      <c r="B7" s="147">
        <f>Qrtly!G7</f>
        <v>450</v>
      </c>
      <c r="C7" s="182">
        <v>1187</v>
      </c>
      <c r="D7" s="134">
        <f t="shared" si="0"/>
        <v>737</v>
      </c>
      <c r="E7" s="165" t="s">
        <v>62</v>
      </c>
    </row>
    <row r="8" spans="1:6" x14ac:dyDescent="0.25">
      <c r="A8" s="58" t="s">
        <v>5</v>
      </c>
      <c r="B8" s="147">
        <f>Qrtly!G8</f>
        <v>0</v>
      </c>
      <c r="C8" s="182">
        <v>0</v>
      </c>
      <c r="D8" s="134">
        <f t="shared" si="0"/>
        <v>0</v>
      </c>
    </row>
    <row r="9" spans="1:6" x14ac:dyDescent="0.25">
      <c r="A9" s="59" t="s">
        <v>6</v>
      </c>
      <c r="B9" s="147">
        <f>Qrtly!G9</f>
        <v>2967</v>
      </c>
      <c r="C9" s="182">
        <f>2596+1272</f>
        <v>3868</v>
      </c>
      <c r="D9" s="134">
        <f t="shared" si="0"/>
        <v>901</v>
      </c>
      <c r="F9" s="113"/>
    </row>
    <row r="10" spans="1:6" ht="16.5" thickBot="1" x14ac:dyDescent="0.3">
      <c r="A10" s="60" t="s">
        <v>7</v>
      </c>
      <c r="B10" s="148">
        <f t="shared" ref="B10:C10" si="1">SUM(B3:B9)</f>
        <v>14317</v>
      </c>
      <c r="C10" s="183">
        <f t="shared" si="1"/>
        <v>16438</v>
      </c>
      <c r="D10" s="135">
        <f t="shared" si="0"/>
        <v>2121</v>
      </c>
    </row>
    <row r="11" spans="1:6" ht="16.5" thickTop="1" x14ac:dyDescent="0.25">
      <c r="A11" s="58" t="s">
        <v>42</v>
      </c>
      <c r="B11" s="147">
        <f>Qrtly!G11</f>
        <v>1500</v>
      </c>
      <c r="C11" s="182">
        <v>1858</v>
      </c>
      <c r="D11" s="134">
        <f t="shared" si="0"/>
        <v>358</v>
      </c>
      <c r="E11" s="166"/>
    </row>
    <row r="12" spans="1:6" x14ac:dyDescent="0.25">
      <c r="A12" s="58" t="s">
        <v>8</v>
      </c>
      <c r="B12" s="147">
        <f>Qrtly!G12</f>
        <v>0</v>
      </c>
      <c r="C12" s="182">
        <v>210</v>
      </c>
      <c r="D12" s="134">
        <f t="shared" si="0"/>
        <v>210</v>
      </c>
      <c r="E12" s="165" t="s">
        <v>64</v>
      </c>
    </row>
    <row r="13" spans="1:6" x14ac:dyDescent="0.25">
      <c r="A13" s="58" t="s">
        <v>9</v>
      </c>
      <c r="B13" s="147">
        <f>Qrtly!G13</f>
        <v>500</v>
      </c>
      <c r="C13" s="182">
        <v>724</v>
      </c>
      <c r="D13" s="134">
        <f t="shared" si="0"/>
        <v>224</v>
      </c>
    </row>
    <row r="14" spans="1:6" x14ac:dyDescent="0.25">
      <c r="A14" s="58" t="s">
        <v>10</v>
      </c>
      <c r="B14" s="147"/>
      <c r="C14" s="182">
        <v>425</v>
      </c>
      <c r="D14" s="134">
        <f t="shared" si="0"/>
        <v>425</v>
      </c>
    </row>
    <row r="15" spans="1:6" x14ac:dyDescent="0.25">
      <c r="A15" s="58" t="s">
        <v>11</v>
      </c>
      <c r="B15" s="147">
        <f>Qrtly!G15</f>
        <v>2800</v>
      </c>
      <c r="C15" s="182">
        <f>693+1189+958+103</f>
        <v>2943</v>
      </c>
      <c r="D15" s="134">
        <f t="shared" si="0"/>
        <v>143</v>
      </c>
      <c r="E15" s="166"/>
    </row>
    <row r="16" spans="1:6" x14ac:dyDescent="0.25">
      <c r="A16" s="58" t="s">
        <v>50</v>
      </c>
      <c r="B16" s="147">
        <f>Qrtly!G16</f>
        <v>0</v>
      </c>
      <c r="C16" s="182">
        <v>1935</v>
      </c>
      <c r="D16" s="134">
        <f t="shared" si="0"/>
        <v>1935</v>
      </c>
      <c r="E16" s="165" t="s">
        <v>72</v>
      </c>
    </row>
    <row r="17" spans="1:7" ht="16.5" thickBot="1" x14ac:dyDescent="0.3">
      <c r="A17" s="59" t="s">
        <v>48</v>
      </c>
      <c r="B17" s="147">
        <f>Qrtly!G17</f>
        <v>375</v>
      </c>
      <c r="C17" s="182">
        <v>350</v>
      </c>
      <c r="D17" s="134">
        <f t="shared" si="0"/>
        <v>-25</v>
      </c>
    </row>
    <row r="18" spans="1:7" ht="16.5" thickBot="1" x14ac:dyDescent="0.3">
      <c r="A18" s="60" t="s">
        <v>12</v>
      </c>
      <c r="B18" s="148">
        <f>SUM(B11:B17)</f>
        <v>5175</v>
      </c>
      <c r="C18" s="183">
        <f>SUM(C11:C17)</f>
        <v>8445</v>
      </c>
      <c r="D18" s="135">
        <f t="shared" si="0"/>
        <v>3270</v>
      </c>
      <c r="F18" s="171" t="s">
        <v>93</v>
      </c>
      <c r="G18" s="172"/>
    </row>
    <row r="19" spans="1:7" ht="16.5" thickTop="1" x14ac:dyDescent="0.25">
      <c r="A19" s="58" t="s">
        <v>13</v>
      </c>
      <c r="B19" s="147">
        <f>Qrtly!G19</f>
        <v>2000</v>
      </c>
      <c r="C19" s="182">
        <f>2391+1156+74</f>
        <v>3621</v>
      </c>
      <c r="D19" s="134">
        <f t="shared" si="0"/>
        <v>1621</v>
      </c>
      <c r="F19" s="173" t="s">
        <v>86</v>
      </c>
      <c r="G19" s="174">
        <v>400</v>
      </c>
    </row>
    <row r="20" spans="1:7" x14ac:dyDescent="0.25">
      <c r="A20" s="58" t="s">
        <v>17</v>
      </c>
      <c r="B20" s="147">
        <f>Qrtly!G20</f>
        <v>700</v>
      </c>
      <c r="C20" s="182">
        <v>663</v>
      </c>
      <c r="D20" s="134">
        <f t="shared" si="0"/>
        <v>-37</v>
      </c>
      <c r="F20" s="173" t="s">
        <v>87</v>
      </c>
      <c r="G20" s="174">
        <v>400</v>
      </c>
    </row>
    <row r="21" spans="1:7" x14ac:dyDescent="0.25">
      <c r="A21" s="58" t="s">
        <v>33</v>
      </c>
      <c r="B21" s="147">
        <f>Qrtly!G21</f>
        <v>1000</v>
      </c>
      <c r="C21" s="182">
        <v>1080</v>
      </c>
      <c r="D21" s="134">
        <f t="shared" si="0"/>
        <v>80</v>
      </c>
      <c r="F21" s="173" t="s">
        <v>88</v>
      </c>
      <c r="G21" s="174">
        <v>400</v>
      </c>
    </row>
    <row r="22" spans="1:7" x14ac:dyDescent="0.25">
      <c r="A22" s="58" t="s">
        <v>14</v>
      </c>
      <c r="B22" s="147" t="e">
        <f>Qrtly!G22+Qrtly!#REF!</f>
        <v>#REF!</v>
      </c>
      <c r="C22" s="182">
        <v>72588</v>
      </c>
      <c r="D22" s="134" t="e">
        <f t="shared" si="0"/>
        <v>#REF!</v>
      </c>
      <c r="F22" s="173" t="s">
        <v>89</v>
      </c>
      <c r="G22" s="174">
        <v>3500</v>
      </c>
    </row>
    <row r="23" spans="1:7" x14ac:dyDescent="0.25">
      <c r="A23" s="63" t="s">
        <v>35</v>
      </c>
      <c r="B23" s="149">
        <f>Qrtly!G23</f>
        <v>750</v>
      </c>
      <c r="C23" s="158">
        <v>828</v>
      </c>
      <c r="D23" s="136">
        <f t="shared" si="0"/>
        <v>78</v>
      </c>
      <c r="E23" s="165" t="s">
        <v>69</v>
      </c>
      <c r="F23" s="173" t="s">
        <v>90</v>
      </c>
      <c r="G23" s="175">
        <v>750</v>
      </c>
    </row>
    <row r="24" spans="1:7" x14ac:dyDescent="0.25">
      <c r="A24" s="58" t="s">
        <v>36</v>
      </c>
      <c r="B24" s="149">
        <f>Qrtly!G24</f>
        <v>175</v>
      </c>
      <c r="C24" s="158">
        <v>98</v>
      </c>
      <c r="D24" s="136">
        <f t="shared" si="0"/>
        <v>-77</v>
      </c>
      <c r="F24" s="173" t="s">
        <v>91</v>
      </c>
      <c r="G24" s="176" t="s">
        <v>91</v>
      </c>
    </row>
    <row r="25" spans="1:7" x14ac:dyDescent="0.25">
      <c r="A25" s="58" t="s">
        <v>73</v>
      </c>
      <c r="B25" s="149">
        <f>Qrtly!G25</f>
        <v>4300</v>
      </c>
      <c r="C25" s="149">
        <v>5450</v>
      </c>
      <c r="D25" s="136">
        <f t="shared" si="0"/>
        <v>1150</v>
      </c>
      <c r="F25" s="173" t="s">
        <v>92</v>
      </c>
      <c r="G25" s="177">
        <f>SUM(G19:G24)</f>
        <v>5450</v>
      </c>
    </row>
    <row r="26" spans="1:7" ht="16.5" thickBot="1" x14ac:dyDescent="0.3">
      <c r="A26" s="64" t="s">
        <v>41</v>
      </c>
      <c r="B26" s="149"/>
      <c r="C26" s="149">
        <v>0</v>
      </c>
      <c r="D26" s="136">
        <f t="shared" si="0"/>
        <v>0</v>
      </c>
      <c r="F26" s="178"/>
      <c r="G26" s="179"/>
    </row>
    <row r="27" spans="1:7" hidden="1" x14ac:dyDescent="0.25">
      <c r="A27" s="65" t="s">
        <v>39</v>
      </c>
      <c r="B27" s="149"/>
      <c r="C27" s="149"/>
      <c r="D27" s="136">
        <f t="shared" si="0"/>
        <v>0</v>
      </c>
    </row>
    <row r="28" spans="1:7" hidden="1" x14ac:dyDescent="0.25">
      <c r="A28" s="65" t="s">
        <v>40</v>
      </c>
      <c r="B28" s="149"/>
      <c r="C28" s="149"/>
      <c r="D28" s="136">
        <f t="shared" si="0"/>
        <v>0</v>
      </c>
    </row>
    <row r="29" spans="1:7" hidden="1" x14ac:dyDescent="0.25">
      <c r="A29" s="66" t="s">
        <v>52</v>
      </c>
      <c r="B29" s="147"/>
      <c r="C29" s="147"/>
      <c r="D29" s="134">
        <f t="shared" si="0"/>
        <v>0</v>
      </c>
    </row>
    <row r="30" spans="1:7" ht="18.75" thickBot="1" x14ac:dyDescent="0.3">
      <c r="A30" s="163" t="s">
        <v>18</v>
      </c>
      <c r="B30" s="164" t="e">
        <f>SUM(B19:B29)+B10+B18</f>
        <v>#REF!</v>
      </c>
      <c r="C30" s="164">
        <f>SUM(C19:C29)+C10+C18</f>
        <v>109211</v>
      </c>
      <c r="D30" s="137" t="e">
        <f t="shared" si="0"/>
        <v>#REF!</v>
      </c>
    </row>
    <row r="31" spans="1:7" ht="16.5" thickTop="1" x14ac:dyDescent="0.25">
      <c r="A31" s="68"/>
      <c r="B31" s="149"/>
      <c r="C31" s="149"/>
      <c r="D31" s="136">
        <f t="shared" si="0"/>
        <v>0</v>
      </c>
    </row>
    <row r="32" spans="1:7" x14ac:dyDescent="0.25">
      <c r="A32" s="69" t="s">
        <v>20</v>
      </c>
      <c r="B32" s="150" t="s">
        <v>59</v>
      </c>
      <c r="C32" s="150" t="s">
        <v>60</v>
      </c>
      <c r="D32" s="138" t="s">
        <v>61</v>
      </c>
      <c r="E32" s="167" t="s">
        <v>63</v>
      </c>
    </row>
    <row r="33" spans="1:7" x14ac:dyDescent="0.25">
      <c r="A33" s="70" t="s">
        <v>21</v>
      </c>
      <c r="B33" s="149">
        <f>Qrtly!G33</f>
        <v>57000</v>
      </c>
      <c r="C33" s="158">
        <f>67045+2411</f>
        <v>69456</v>
      </c>
      <c r="D33" s="136">
        <f t="shared" ref="D33:D48" si="2">C33-B33</f>
        <v>12456</v>
      </c>
    </row>
    <row r="34" spans="1:7" x14ac:dyDescent="0.25">
      <c r="A34" s="70" t="s">
        <v>22</v>
      </c>
      <c r="B34" s="149">
        <f>Qrtly!G34</f>
        <v>1500</v>
      </c>
      <c r="C34" s="158">
        <v>1738</v>
      </c>
      <c r="D34" s="136">
        <f t="shared" si="2"/>
        <v>238</v>
      </c>
    </row>
    <row r="35" spans="1:7" x14ac:dyDescent="0.25">
      <c r="A35" s="71" t="s">
        <v>27</v>
      </c>
      <c r="B35" s="149">
        <f>Qrtly!G35</f>
        <v>13000</v>
      </c>
      <c r="C35" s="158">
        <v>16330</v>
      </c>
      <c r="D35" s="136">
        <f t="shared" si="2"/>
        <v>3330</v>
      </c>
    </row>
    <row r="36" spans="1:7" x14ac:dyDescent="0.25">
      <c r="A36" s="72" t="s">
        <v>23</v>
      </c>
      <c r="B36" s="151">
        <f>SUM(B33:B35)</f>
        <v>71500</v>
      </c>
      <c r="C36" s="184">
        <f>SUM(C33:C35)</f>
        <v>87524</v>
      </c>
      <c r="D36" s="140">
        <f t="shared" si="2"/>
        <v>16024</v>
      </c>
    </row>
    <row r="37" spans="1:7" x14ac:dyDescent="0.25">
      <c r="A37" s="70" t="s">
        <v>24</v>
      </c>
      <c r="B37" s="149">
        <f>Qrtly!G38</f>
        <v>900</v>
      </c>
      <c r="C37" s="158">
        <f>369+800</f>
        <v>1169</v>
      </c>
      <c r="D37" s="136">
        <f t="shared" si="2"/>
        <v>269</v>
      </c>
    </row>
    <row r="38" spans="1:7" x14ac:dyDescent="0.25">
      <c r="A38" s="70" t="s">
        <v>25</v>
      </c>
      <c r="B38" s="149">
        <f>Qrtly!G39</f>
        <v>16850</v>
      </c>
      <c r="C38" s="158">
        <v>29838</v>
      </c>
      <c r="D38" s="136">
        <f t="shared" si="2"/>
        <v>12988</v>
      </c>
      <c r="F38" s="112"/>
      <c r="G38" s="112"/>
    </row>
    <row r="39" spans="1:7" x14ac:dyDescent="0.25">
      <c r="A39" s="70" t="s">
        <v>26</v>
      </c>
      <c r="B39" s="149">
        <f>Qrtly!G40</f>
        <v>500</v>
      </c>
      <c r="C39" s="158">
        <v>234</v>
      </c>
      <c r="D39" s="136">
        <f t="shared" si="2"/>
        <v>-266</v>
      </c>
    </row>
    <row r="40" spans="1:7" x14ac:dyDescent="0.25">
      <c r="A40" s="70" t="s">
        <v>34</v>
      </c>
      <c r="B40" s="149">
        <f>Qrtly!G41</f>
        <v>200</v>
      </c>
      <c r="C40" s="158">
        <v>83</v>
      </c>
      <c r="D40" s="136">
        <f t="shared" si="2"/>
        <v>-117</v>
      </c>
    </row>
    <row r="41" spans="1:7" x14ac:dyDescent="0.25">
      <c r="A41" s="70" t="s">
        <v>28</v>
      </c>
      <c r="B41" s="149">
        <f>Qrtly!G42</f>
        <v>0</v>
      </c>
      <c r="C41" s="149"/>
      <c r="D41" s="136">
        <f t="shared" si="2"/>
        <v>0</v>
      </c>
    </row>
    <row r="42" spans="1:7" ht="18.75" thickBot="1" x14ac:dyDescent="0.3">
      <c r="A42" s="163" t="s">
        <v>29</v>
      </c>
      <c r="B42" s="164">
        <f t="shared" ref="B42" si="3">SUM(B37:B41)+B36</f>
        <v>89950</v>
      </c>
      <c r="C42" s="164">
        <f>SUM(C36:C41)</f>
        <v>118848</v>
      </c>
      <c r="D42" s="137">
        <f t="shared" si="2"/>
        <v>28898</v>
      </c>
    </row>
    <row r="43" spans="1:7" ht="16.5" thickTop="1" x14ac:dyDescent="0.25">
      <c r="A43" s="58" t="s">
        <v>51</v>
      </c>
      <c r="B43" s="149">
        <f>Qrtly!G44</f>
        <v>0</v>
      </c>
      <c r="C43" s="149">
        <v>-5075</v>
      </c>
      <c r="D43" s="136">
        <f t="shared" si="2"/>
        <v>-5075</v>
      </c>
    </row>
    <row r="44" spans="1:7" ht="16.5" thickBot="1" x14ac:dyDescent="0.3">
      <c r="A44" s="58" t="s">
        <v>83</v>
      </c>
      <c r="B44" s="149">
        <f>Qrtly!G45</f>
        <v>0</v>
      </c>
      <c r="C44" s="149">
        <f>-7867-2440</f>
        <v>-10307</v>
      </c>
      <c r="D44" s="136">
        <f t="shared" si="2"/>
        <v>-10307</v>
      </c>
    </row>
    <row r="45" spans="1:7" ht="17.25" thickTop="1" thickBot="1" x14ac:dyDescent="0.3">
      <c r="A45" s="125" t="s">
        <v>49</v>
      </c>
      <c r="B45" s="152" t="e">
        <f>B42-B30+B43+B44+B44</f>
        <v>#REF!</v>
      </c>
      <c r="C45" s="152">
        <f>C42-C30+C43+C44</f>
        <v>-5745</v>
      </c>
      <c r="D45" s="141" t="e">
        <f t="shared" si="2"/>
        <v>#REF!</v>
      </c>
    </row>
    <row r="46" spans="1:7" ht="17.25" thickTop="1" thickBot="1" x14ac:dyDescent="0.3">
      <c r="B46" s="149"/>
      <c r="C46" s="149"/>
      <c r="D46" s="136">
        <f t="shared" si="2"/>
        <v>0</v>
      </c>
    </row>
    <row r="47" spans="1:7" x14ac:dyDescent="0.25">
      <c r="A47" s="75" t="s">
        <v>30</v>
      </c>
      <c r="B47" s="153"/>
      <c r="C47" s="153"/>
      <c r="D47" s="142">
        <f t="shared" si="2"/>
        <v>0</v>
      </c>
    </row>
    <row r="48" spans="1:7" ht="16.5" thickBot="1" x14ac:dyDescent="0.3">
      <c r="A48" s="76" t="s">
        <v>31</v>
      </c>
      <c r="B48" s="149">
        <f>Qrtly!G49</f>
        <v>14097</v>
      </c>
      <c r="C48" s="149">
        <v>30663</v>
      </c>
      <c r="D48" s="136">
        <f t="shared" si="2"/>
        <v>16566</v>
      </c>
    </row>
    <row r="49" spans="1:7" ht="19.5" thickTop="1" thickBot="1" x14ac:dyDescent="0.3">
      <c r="A49" s="77" t="s">
        <v>70</v>
      </c>
      <c r="B49" s="154" t="e">
        <f t="shared" ref="B49:C49" si="4">SUM(B45:B48)</f>
        <v>#REF!</v>
      </c>
      <c r="C49" s="154">
        <f t="shared" si="4"/>
        <v>24918</v>
      </c>
      <c r="D49" s="143" t="e">
        <f t="shared" ref="D49" si="5">SUM(D45:D48)</f>
        <v>#REF!</v>
      </c>
    </row>
    <row r="50" spans="1:7" thickBot="1" x14ac:dyDescent="0.3">
      <c r="A50"/>
      <c r="B50" s="155"/>
      <c r="C50" s="155"/>
      <c r="D50" s="144"/>
    </row>
    <row r="51" spans="1:7" x14ac:dyDescent="0.25">
      <c r="A51" s="78" t="s">
        <v>43</v>
      </c>
      <c r="B51" s="156">
        <f>Qrtly!G53</f>
        <v>16400</v>
      </c>
      <c r="C51" s="156">
        <f>11570+775</f>
        <v>12345</v>
      </c>
      <c r="D51" s="145">
        <f>C51-B51</f>
        <v>-4055</v>
      </c>
      <c r="F51" s="113"/>
    </row>
    <row r="52" spans="1:7" x14ac:dyDescent="0.25">
      <c r="A52" s="79" t="s">
        <v>44</v>
      </c>
      <c r="B52" s="157">
        <f>Qrtly!G54</f>
        <v>2500</v>
      </c>
      <c r="C52" s="157">
        <f>14371-C51</f>
        <v>2026</v>
      </c>
      <c r="D52" s="139">
        <f>C52-B52</f>
        <v>-474</v>
      </c>
      <c r="F52" s="113"/>
    </row>
    <row r="53" spans="1:7" x14ac:dyDescent="0.25">
      <c r="A53" s="80" t="s">
        <v>45</v>
      </c>
      <c r="B53" s="149">
        <f>Qrtly!G55</f>
        <v>47316</v>
      </c>
      <c r="C53" s="149">
        <f>B53</f>
        <v>47316</v>
      </c>
      <c r="D53" s="136">
        <f>C53-B53</f>
        <v>0</v>
      </c>
      <c r="E53" s="168"/>
    </row>
    <row r="54" spans="1:7" x14ac:dyDescent="0.25">
      <c r="A54" s="79" t="s">
        <v>20</v>
      </c>
      <c r="B54" s="149">
        <f>Qrtly!G56</f>
        <v>400</v>
      </c>
      <c r="C54" s="149">
        <v>11237</v>
      </c>
      <c r="D54" s="136">
        <f>C54-B54</f>
        <v>10837</v>
      </c>
    </row>
    <row r="55" spans="1:7" x14ac:dyDescent="0.25">
      <c r="A55" s="81" t="s">
        <v>47</v>
      </c>
      <c r="B55" s="158">
        <v>0</v>
      </c>
      <c r="C55" s="149">
        <v>5075</v>
      </c>
      <c r="D55" s="146">
        <f>C55-B55</f>
        <v>5075</v>
      </c>
    </row>
    <row r="56" spans="1:7" ht="16.5" thickBot="1" x14ac:dyDescent="0.3">
      <c r="A56" s="82" t="s">
        <v>46</v>
      </c>
      <c r="B56" s="159">
        <f t="shared" ref="B56" si="6">B53-B51-B52+B54+B55</f>
        <v>28816</v>
      </c>
      <c r="C56" s="159">
        <f t="shared" ref="C56:D56" si="7">C53-C51-C52+C54+C55</f>
        <v>49257</v>
      </c>
      <c r="D56" s="50">
        <f t="shared" si="7"/>
        <v>20441</v>
      </c>
    </row>
    <row r="57" spans="1:7" x14ac:dyDescent="0.25">
      <c r="B57" s="147"/>
      <c r="C57" s="147"/>
    </row>
    <row r="58" spans="1:7" x14ac:dyDescent="0.25">
      <c r="A58" s="70" t="s">
        <v>67</v>
      </c>
      <c r="B58" s="147"/>
      <c r="C58" s="147">
        <v>40815</v>
      </c>
    </row>
    <row r="59" spans="1:7" x14ac:dyDescent="0.25">
      <c r="A59" s="70" t="s">
        <v>68</v>
      </c>
      <c r="B59" s="147"/>
      <c r="C59" s="147">
        <f>C56-C58</f>
        <v>8442</v>
      </c>
      <c r="G59" s="170"/>
    </row>
    <row r="60" spans="1:7" x14ac:dyDescent="0.25">
      <c r="B60" s="147"/>
      <c r="C60" s="147"/>
    </row>
    <row r="61" spans="1:7" x14ac:dyDescent="0.25">
      <c r="A61" s="110" t="s">
        <v>74</v>
      </c>
      <c r="B61" s="147"/>
      <c r="C61" s="147"/>
    </row>
    <row r="62" spans="1:7" x14ac:dyDescent="0.25">
      <c r="A62" s="70" t="s">
        <v>75</v>
      </c>
      <c r="B62" s="147"/>
      <c r="C62" s="147">
        <v>1488</v>
      </c>
    </row>
    <row r="63" spans="1:7" x14ac:dyDescent="0.25">
      <c r="A63" s="70" t="s">
        <v>76</v>
      </c>
      <c r="B63" s="147"/>
      <c r="C63" s="147">
        <v>0</v>
      </c>
    </row>
    <row r="64" spans="1:7" x14ac:dyDescent="0.25">
      <c r="A64" s="70" t="s">
        <v>77</v>
      </c>
      <c r="B64" s="160"/>
      <c r="C64" s="147">
        <v>57</v>
      </c>
      <c r="D64" s="144"/>
    </row>
    <row r="65" spans="1:3" x14ac:dyDescent="0.25">
      <c r="A65" s="70" t="s">
        <v>78</v>
      </c>
      <c r="B65" s="147"/>
      <c r="C65" s="147">
        <v>11</v>
      </c>
    </row>
    <row r="66" spans="1:3" x14ac:dyDescent="0.25">
      <c r="A66" s="70" t="s">
        <v>79</v>
      </c>
      <c r="B66" s="147"/>
      <c r="C66" s="147">
        <v>634</v>
      </c>
    </row>
    <row r="67" spans="1:3" x14ac:dyDescent="0.25">
      <c r="A67" s="70" t="s">
        <v>80</v>
      </c>
      <c r="B67" s="147"/>
      <c r="C67" s="147">
        <v>2592</v>
      </c>
    </row>
    <row r="68" spans="1:3" x14ac:dyDescent="0.25">
      <c r="A68" s="70" t="s">
        <v>81</v>
      </c>
      <c r="B68" s="147"/>
      <c r="C68" s="147">
        <v>413</v>
      </c>
    </row>
    <row r="69" spans="1:3" x14ac:dyDescent="0.25">
      <c r="A69" s="70" t="s">
        <v>82</v>
      </c>
      <c r="B69" s="147"/>
      <c r="C69" s="147">
        <f>10000+4091</f>
        <v>14091</v>
      </c>
    </row>
  </sheetData>
  <mergeCells count="1">
    <mergeCell ref="B1:E1"/>
  </mergeCells>
  <pageMargins left="0.7" right="0.7" top="0.75" bottom="0.75" header="0.3" footer="0.3"/>
  <pageSetup paperSize="9" scale="7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60D5F-781D-473E-B3FB-DDEB3A9C14B9}">
  <sheetPr>
    <pageSetUpPr fitToPage="1"/>
  </sheetPr>
  <dimension ref="A1:G120"/>
  <sheetViews>
    <sheetView topLeftCell="A55" workbookViewId="0">
      <selection activeCell="A120" sqref="A120:XFD125"/>
    </sheetView>
  </sheetViews>
  <sheetFormatPr defaultRowHeight="15.75" x14ac:dyDescent="0.25"/>
  <cols>
    <col min="1" max="1" width="30.140625" style="70" bestFit="1" customWidth="1"/>
    <col min="2" max="3" width="16.42578125" style="70" customWidth="1"/>
    <col min="4" max="4" width="16.42578125" style="129" customWidth="1"/>
    <col min="5" max="5" width="17.28515625" bestFit="1" customWidth="1"/>
    <col min="6" max="6" width="3.85546875" customWidth="1"/>
    <col min="7" max="7" width="12.85546875" customWidth="1"/>
  </cols>
  <sheetData>
    <row r="1" spans="1:7" ht="18.75" x14ac:dyDescent="0.3">
      <c r="A1" s="110" t="s">
        <v>126</v>
      </c>
      <c r="D1" s="186"/>
      <c r="E1" s="275"/>
    </row>
    <row r="2" spans="1:7" x14ac:dyDescent="0.25">
      <c r="A2" s="110" t="s">
        <v>127</v>
      </c>
      <c r="B2" s="110"/>
      <c r="D2" s="186"/>
    </row>
    <row r="3" spans="1:7" x14ac:dyDescent="0.25">
      <c r="A3" s="110" t="s">
        <v>149</v>
      </c>
      <c r="D3" s="186"/>
    </row>
    <row r="4" spans="1:7" x14ac:dyDescent="0.25">
      <c r="B4" s="222" t="s">
        <v>60</v>
      </c>
      <c r="C4" s="222" t="s">
        <v>59</v>
      </c>
      <c r="D4" s="223" t="s">
        <v>128</v>
      </c>
      <c r="G4" s="247">
        <v>2019</v>
      </c>
    </row>
    <row r="5" spans="1:7" x14ac:dyDescent="0.25">
      <c r="B5" s="222" t="s">
        <v>130</v>
      </c>
      <c r="C5" s="222" t="s">
        <v>130</v>
      </c>
      <c r="D5" s="222" t="s">
        <v>130</v>
      </c>
      <c r="G5" s="222" t="s">
        <v>130</v>
      </c>
    </row>
    <row r="6" spans="1:7" x14ac:dyDescent="0.25">
      <c r="A6" s="110" t="s">
        <v>114</v>
      </c>
      <c r="D6" s="186"/>
    </row>
    <row r="7" spans="1:7" x14ac:dyDescent="0.25">
      <c r="D7" s="186"/>
    </row>
    <row r="8" spans="1:7" x14ac:dyDescent="0.25">
      <c r="A8" s="70" t="s">
        <v>29</v>
      </c>
      <c r="B8" s="70">
        <f>C104</f>
        <v>0</v>
      </c>
      <c r="C8" s="70">
        <f>B104</f>
        <v>105100</v>
      </c>
      <c r="D8" s="240">
        <f>B8-C8</f>
        <v>-105100</v>
      </c>
      <c r="G8" s="226">
        <f>G104</f>
        <v>110935</v>
      </c>
    </row>
    <row r="9" spans="1:7" x14ac:dyDescent="0.25">
      <c r="D9" s="186"/>
      <c r="G9" s="224"/>
    </row>
    <row r="10" spans="1:7" x14ac:dyDescent="0.25">
      <c r="A10" s="70" t="s">
        <v>18</v>
      </c>
      <c r="B10" s="109">
        <f>C91</f>
        <v>0</v>
      </c>
      <c r="C10" s="109">
        <f>B91</f>
        <v>112345</v>
      </c>
      <c r="D10" s="189">
        <f>C10-B10</f>
        <v>112345</v>
      </c>
      <c r="G10" s="227">
        <f>G91</f>
        <v>113352</v>
      </c>
    </row>
    <row r="11" spans="1:7" x14ac:dyDescent="0.25">
      <c r="D11" s="186"/>
      <c r="G11" s="186"/>
    </row>
    <row r="12" spans="1:7" ht="16.5" thickBot="1" x14ac:dyDescent="0.3">
      <c r="A12" s="70" t="s">
        <v>129</v>
      </c>
      <c r="B12" s="237">
        <f>B8-B10</f>
        <v>0</v>
      </c>
      <c r="C12" s="237">
        <f>C8-C10</f>
        <v>-7245</v>
      </c>
      <c r="D12" s="242">
        <f>B12-C12</f>
        <v>7245</v>
      </c>
      <c r="G12" s="237">
        <f>G8-G10</f>
        <v>-2417</v>
      </c>
    </row>
    <row r="13" spans="1:7" ht="16.5" thickTop="1" x14ac:dyDescent="0.25">
      <c r="D13" s="186"/>
    </row>
    <row r="14" spans="1:7" x14ac:dyDescent="0.25">
      <c r="A14" s="110" t="s">
        <v>132</v>
      </c>
      <c r="D14" s="186"/>
    </row>
    <row r="15" spans="1:7" x14ac:dyDescent="0.25">
      <c r="D15" s="186"/>
    </row>
    <row r="16" spans="1:7" x14ac:dyDescent="0.25">
      <c r="A16" s="70" t="s">
        <v>29</v>
      </c>
      <c r="B16" s="70">
        <f>C116</f>
        <v>0</v>
      </c>
      <c r="C16" s="70">
        <f>B116</f>
        <v>500</v>
      </c>
      <c r="D16" s="240">
        <f>B16-C16</f>
        <v>-500</v>
      </c>
      <c r="G16" s="226"/>
    </row>
    <row r="17" spans="1:7" x14ac:dyDescent="0.25">
      <c r="D17" s="186"/>
      <c r="G17" s="224"/>
    </row>
    <row r="18" spans="1:7" x14ac:dyDescent="0.25">
      <c r="A18" s="70" t="s">
        <v>18</v>
      </c>
      <c r="B18" s="109">
        <f>C113+C114</f>
        <v>0</v>
      </c>
      <c r="C18" s="109">
        <f>B113+B114</f>
        <v>18150</v>
      </c>
      <c r="D18" s="241">
        <f>C18-B18</f>
        <v>18150</v>
      </c>
      <c r="G18" s="227"/>
    </row>
    <row r="19" spans="1:7" x14ac:dyDescent="0.25">
      <c r="D19" s="186"/>
      <c r="G19" s="186"/>
    </row>
    <row r="20" spans="1:7" ht="16.5" thickBot="1" x14ac:dyDescent="0.3">
      <c r="A20" s="70" t="s">
        <v>129</v>
      </c>
      <c r="B20" s="237">
        <f>B16-B18</f>
        <v>0</v>
      </c>
      <c r="C20" s="237">
        <f>C16-C18</f>
        <v>-17650</v>
      </c>
      <c r="D20" s="242">
        <f>B20-C20</f>
        <v>17650</v>
      </c>
      <c r="G20" s="237">
        <f>G16-G18</f>
        <v>0</v>
      </c>
    </row>
    <row r="21" spans="1:7" ht="16.5" thickTop="1" x14ac:dyDescent="0.25">
      <c r="D21" s="186"/>
    </row>
    <row r="22" spans="1:7" x14ac:dyDescent="0.25">
      <c r="A22" s="110" t="s">
        <v>138</v>
      </c>
      <c r="D22" s="186"/>
    </row>
    <row r="23" spans="1:7" x14ac:dyDescent="0.25">
      <c r="A23" s="110" t="s">
        <v>147</v>
      </c>
      <c r="D23" s="186"/>
    </row>
    <row r="24" spans="1:7" x14ac:dyDescent="0.25">
      <c r="A24" s="110" t="s">
        <v>157</v>
      </c>
      <c r="D24" s="186"/>
    </row>
    <row r="25" spans="1:7" x14ac:dyDescent="0.25">
      <c r="A25" s="70" t="s">
        <v>142</v>
      </c>
      <c r="D25" s="186"/>
    </row>
    <row r="26" spans="1:7" x14ac:dyDescent="0.25">
      <c r="A26" s="70" t="s">
        <v>159</v>
      </c>
      <c r="D26" s="186"/>
    </row>
    <row r="27" spans="1:7" x14ac:dyDescent="0.25">
      <c r="A27" s="70" t="s">
        <v>145</v>
      </c>
      <c r="D27" s="186"/>
    </row>
    <row r="28" spans="1:7" x14ac:dyDescent="0.25">
      <c r="A28" s="70" t="s">
        <v>158</v>
      </c>
      <c r="D28" s="186"/>
    </row>
    <row r="29" spans="1:7" x14ac:dyDescent="0.25">
      <c r="A29" s="70" t="s">
        <v>144</v>
      </c>
      <c r="D29" s="186"/>
    </row>
    <row r="30" spans="1:7" x14ac:dyDescent="0.25">
      <c r="D30" s="186"/>
    </row>
    <row r="31" spans="1:7" x14ac:dyDescent="0.25">
      <c r="D31" s="186"/>
      <c r="G31" s="225" t="s">
        <v>176</v>
      </c>
    </row>
    <row r="32" spans="1:7" x14ac:dyDescent="0.25">
      <c r="A32" s="110" t="s">
        <v>133</v>
      </c>
      <c r="D32" s="186"/>
    </row>
    <row r="33" spans="1:7" x14ac:dyDescent="0.25">
      <c r="A33" s="70" t="s">
        <v>134</v>
      </c>
      <c r="B33" s="70" t="e">
        <f>#REF!</f>
        <v>#REF!</v>
      </c>
      <c r="D33" s="186"/>
      <c r="G33" s="234">
        <v>41376</v>
      </c>
    </row>
    <row r="34" spans="1:7" x14ac:dyDescent="0.25">
      <c r="A34" s="70" t="s">
        <v>135</v>
      </c>
      <c r="B34" s="109" t="e">
        <f>#REF!</f>
        <v>#REF!</v>
      </c>
      <c r="D34" s="186"/>
      <c r="G34" s="238">
        <v>5940</v>
      </c>
    </row>
    <row r="35" spans="1:7" x14ac:dyDescent="0.25">
      <c r="B35" s="70" t="e">
        <f>B33+B34</f>
        <v>#REF!</v>
      </c>
      <c r="D35" s="186"/>
      <c r="G35" s="235">
        <f>G33+G34</f>
        <v>47316</v>
      </c>
    </row>
    <row r="36" spans="1:7" x14ac:dyDescent="0.25">
      <c r="A36" s="70" t="s">
        <v>114</v>
      </c>
      <c r="B36" s="70">
        <f>C111</f>
        <v>16514</v>
      </c>
      <c r="D36" s="186"/>
      <c r="G36" s="234">
        <v>14097</v>
      </c>
    </row>
    <row r="37" spans="1:7" x14ac:dyDescent="0.25">
      <c r="A37" s="70" t="s">
        <v>74</v>
      </c>
      <c r="B37" s="109" t="e">
        <f>#REF!</f>
        <v>#REF!</v>
      </c>
      <c r="C37" s="245" t="s">
        <v>161</v>
      </c>
      <c r="D37" s="186"/>
      <c r="G37" s="234">
        <f>5653+1362</f>
        <v>7015</v>
      </c>
    </row>
    <row r="38" spans="1:7" ht="16.5" thickBot="1" x14ac:dyDescent="0.3">
      <c r="A38" s="110" t="s">
        <v>116</v>
      </c>
      <c r="B38" s="60" t="e">
        <f>B35+B36+B37</f>
        <v>#REF!</v>
      </c>
      <c r="C38" s="2"/>
      <c r="D38" s="186"/>
      <c r="G38" s="236">
        <f>G35+G36+G37</f>
        <v>68428</v>
      </c>
    </row>
    <row r="39" spans="1:7" ht="16.5" thickTop="1" x14ac:dyDescent="0.25">
      <c r="B39"/>
      <c r="D39" s="186"/>
      <c r="G39" s="234"/>
    </row>
    <row r="40" spans="1:7" x14ac:dyDescent="0.25">
      <c r="A40" s="110" t="s">
        <v>125</v>
      </c>
      <c r="D40" s="186"/>
      <c r="G40" s="234"/>
    </row>
    <row r="41" spans="1:7" x14ac:dyDescent="0.25">
      <c r="A41" s="70" t="s">
        <v>65</v>
      </c>
      <c r="B41" s="70">
        <v>20730</v>
      </c>
      <c r="D41" s="186"/>
      <c r="G41" s="234">
        <v>20730</v>
      </c>
    </row>
    <row r="42" spans="1:7" x14ac:dyDescent="0.25">
      <c r="A42" s="70" t="s">
        <v>66</v>
      </c>
      <c r="B42" s="109">
        <v>50760</v>
      </c>
      <c r="D42" s="186"/>
      <c r="G42" s="238">
        <v>50760</v>
      </c>
    </row>
    <row r="43" spans="1:7" x14ac:dyDescent="0.25">
      <c r="B43" s="70">
        <f>B41+B42</f>
        <v>71490</v>
      </c>
      <c r="D43" s="186"/>
      <c r="G43" s="243">
        <f>G41+G42</f>
        <v>71490</v>
      </c>
    </row>
    <row r="44" spans="1:7" x14ac:dyDescent="0.25">
      <c r="A44" s="70" t="s">
        <v>156</v>
      </c>
      <c r="B44" s="57">
        <v>-6584</v>
      </c>
      <c r="C44" s="2"/>
      <c r="D44" s="186"/>
      <c r="G44" s="244">
        <v>-6423</v>
      </c>
    </row>
    <row r="45" spans="1:7" x14ac:dyDescent="0.25">
      <c r="A45" s="70" t="s">
        <v>139</v>
      </c>
      <c r="B45" s="70">
        <f>1720+36</f>
        <v>1756</v>
      </c>
      <c r="C45" s="2"/>
      <c r="D45" s="186"/>
      <c r="G45" s="234">
        <f>1720+36-1</f>
        <v>1755</v>
      </c>
    </row>
    <row r="46" spans="1:7" x14ac:dyDescent="0.25">
      <c r="A46" s="70" t="s">
        <v>115</v>
      </c>
      <c r="B46" s="70">
        <f>1364+100+142</f>
        <v>1606</v>
      </c>
      <c r="C46" s="2" t="s">
        <v>160</v>
      </c>
      <c r="D46" s="186"/>
      <c r="G46" s="234">
        <v>1606</v>
      </c>
    </row>
    <row r="47" spans="1:7" ht="16.5" thickBot="1" x14ac:dyDescent="0.3">
      <c r="B47" s="236">
        <f>SUM(B43:B46)</f>
        <v>68268</v>
      </c>
      <c r="D47" s="186"/>
      <c r="G47" s="236">
        <f>SUM(G43:G46)</f>
        <v>68428</v>
      </c>
    </row>
    <row r="48" spans="1:7" ht="16.5" thickTop="1" x14ac:dyDescent="0.25"/>
    <row r="67" spans="1:7" x14ac:dyDescent="0.25">
      <c r="A67" s="110" t="s">
        <v>150</v>
      </c>
      <c r="B67" s="291" t="s">
        <v>190</v>
      </c>
      <c r="C67" s="292"/>
      <c r="D67" s="292"/>
      <c r="E67" s="293"/>
      <c r="G67" s="111">
        <v>2019</v>
      </c>
    </row>
    <row r="68" spans="1:7" x14ac:dyDescent="0.25">
      <c r="A68" s="100" t="s">
        <v>19</v>
      </c>
      <c r="B68" s="107" t="s">
        <v>59</v>
      </c>
      <c r="C68" s="107" t="s">
        <v>60</v>
      </c>
      <c r="D68" s="128" t="s">
        <v>61</v>
      </c>
      <c r="E68" s="107" t="s">
        <v>63</v>
      </c>
      <c r="G68" s="111" t="s">
        <v>60</v>
      </c>
    </row>
    <row r="69" spans="1:7" x14ac:dyDescent="0.25">
      <c r="A69" s="58" t="s">
        <v>0</v>
      </c>
      <c r="B69" s="70">
        <f>'2020'!L3</f>
        <v>1600</v>
      </c>
      <c r="D69" s="258">
        <v>55</v>
      </c>
      <c r="G69" s="70">
        <f>'2020'!K3</f>
        <v>1595</v>
      </c>
    </row>
    <row r="70" spans="1:7" x14ac:dyDescent="0.25">
      <c r="A70" s="58" t="s">
        <v>1</v>
      </c>
      <c r="B70" s="70">
        <f>'2020'!L4</f>
        <v>4700</v>
      </c>
      <c r="D70" s="258">
        <f t="shared" ref="D70:D118" si="0">C70-B70</f>
        <v>-4700</v>
      </c>
      <c r="G70" s="70">
        <f>'2020'!K4</f>
        <v>6056</v>
      </c>
    </row>
    <row r="71" spans="1:7" x14ac:dyDescent="0.25">
      <c r="A71" s="58" t="s">
        <v>2</v>
      </c>
      <c r="B71" s="70">
        <f>'2020'!L5</f>
        <v>600</v>
      </c>
      <c r="D71" s="259">
        <f t="shared" si="0"/>
        <v>-600</v>
      </c>
      <c r="G71" s="70">
        <f>'2020'!K5</f>
        <v>605</v>
      </c>
    </row>
    <row r="72" spans="1:7" x14ac:dyDescent="0.25">
      <c r="A72" s="58" t="s">
        <v>153</v>
      </c>
      <c r="B72" s="70">
        <f>'2020'!L6</f>
        <v>9000</v>
      </c>
      <c r="D72" s="259">
        <f t="shared" si="0"/>
        <v>-9000</v>
      </c>
      <c r="G72" s="70">
        <f>'2020'!K6</f>
        <v>6848</v>
      </c>
    </row>
    <row r="73" spans="1:7" x14ac:dyDescent="0.25">
      <c r="A73" s="58" t="s">
        <v>4</v>
      </c>
      <c r="B73" s="70">
        <f>'2020'!L7</f>
        <v>450</v>
      </c>
      <c r="D73" s="259">
        <f t="shared" si="0"/>
        <v>-450</v>
      </c>
      <c r="G73" s="70">
        <f>'2020'!K7</f>
        <v>2544</v>
      </c>
    </row>
    <row r="74" spans="1:7" x14ac:dyDescent="0.25">
      <c r="A74" s="59" t="s">
        <v>6</v>
      </c>
      <c r="B74" s="70">
        <f>'2020'!L8</f>
        <v>2967</v>
      </c>
      <c r="D74" s="259">
        <f t="shared" si="0"/>
        <v>-2967</v>
      </c>
      <c r="G74" s="70">
        <f>'2020'!K8</f>
        <v>4171</v>
      </c>
    </row>
    <row r="75" spans="1:7" ht="16.5" thickBot="1" x14ac:dyDescent="0.3">
      <c r="A75" s="60" t="s">
        <v>7</v>
      </c>
      <c r="B75" s="89">
        <f>SUM(B69:B74)</f>
        <v>19317</v>
      </c>
      <c r="C75" s="89">
        <f>SUM(C69:C74)</f>
        <v>0</v>
      </c>
      <c r="D75" s="261">
        <f t="shared" si="0"/>
        <v>-19317</v>
      </c>
      <c r="G75" s="89">
        <f>SUM(G69:G74)</f>
        <v>21819</v>
      </c>
    </row>
    <row r="76" spans="1:7" ht="16.5" thickTop="1" x14ac:dyDescent="0.25">
      <c r="A76" s="58" t="s">
        <v>42</v>
      </c>
      <c r="B76" s="70">
        <f>'2020'!L10</f>
        <v>1500</v>
      </c>
      <c r="D76" s="259">
        <f t="shared" si="0"/>
        <v>-1500</v>
      </c>
      <c r="G76" s="70">
        <f>'2020'!K10</f>
        <v>2179</v>
      </c>
    </row>
    <row r="77" spans="1:7" x14ac:dyDescent="0.25">
      <c r="A77" s="58" t="s">
        <v>8</v>
      </c>
      <c r="B77" s="70">
        <f>'2020'!L11</f>
        <v>0</v>
      </c>
      <c r="D77" s="259">
        <f t="shared" si="0"/>
        <v>0</v>
      </c>
      <c r="G77" s="70"/>
    </row>
    <row r="78" spans="1:7" x14ac:dyDescent="0.25">
      <c r="A78" s="58" t="s">
        <v>9</v>
      </c>
      <c r="B78" s="70">
        <f>'2020'!L12</f>
        <v>500</v>
      </c>
      <c r="D78" s="259">
        <f t="shared" si="0"/>
        <v>-500</v>
      </c>
      <c r="G78" s="70">
        <f>'2020'!K12</f>
        <v>200</v>
      </c>
    </row>
    <row r="79" spans="1:7" x14ac:dyDescent="0.25">
      <c r="A79" s="58" t="s">
        <v>10</v>
      </c>
      <c r="B79" s="70">
        <f>'2020'!L13</f>
        <v>250</v>
      </c>
      <c r="D79" s="259">
        <f t="shared" si="0"/>
        <v>-250</v>
      </c>
      <c r="G79" s="70"/>
    </row>
    <row r="80" spans="1:7" x14ac:dyDescent="0.25">
      <c r="A80" s="58" t="s">
        <v>11</v>
      </c>
      <c r="B80" s="70">
        <f>'2020'!L14</f>
        <v>2800</v>
      </c>
      <c r="D80" s="259">
        <f t="shared" si="0"/>
        <v>-2800</v>
      </c>
      <c r="G80" s="70">
        <f>'2020'!K14</f>
        <v>3279</v>
      </c>
    </row>
    <row r="81" spans="1:7" x14ac:dyDescent="0.25">
      <c r="A81" s="59" t="s">
        <v>48</v>
      </c>
      <c r="B81" s="70">
        <f>'2020'!L15</f>
        <v>375</v>
      </c>
      <c r="D81" s="259">
        <f t="shared" si="0"/>
        <v>-375</v>
      </c>
      <c r="G81" s="70">
        <f>'2020'!K15</f>
        <v>370</v>
      </c>
    </row>
    <row r="82" spans="1:7" ht="16.5" thickBot="1" x14ac:dyDescent="0.3">
      <c r="A82" s="60" t="s">
        <v>12</v>
      </c>
      <c r="B82" s="89">
        <f>SUM(B76:B81)</f>
        <v>5425</v>
      </c>
      <c r="C82" s="89">
        <f>SUM(C76:C81)</f>
        <v>0</v>
      </c>
      <c r="D82" s="262">
        <f t="shared" si="0"/>
        <v>-5425</v>
      </c>
      <c r="G82" s="89">
        <f>SUM(G76:G81)</f>
        <v>6028</v>
      </c>
    </row>
    <row r="83" spans="1:7" ht="16.5" thickTop="1" x14ac:dyDescent="0.25">
      <c r="A83" s="58" t="s">
        <v>13</v>
      </c>
      <c r="B83" s="70">
        <v>2000</v>
      </c>
      <c r="D83" s="259">
        <f t="shared" si="0"/>
        <v>-2000</v>
      </c>
      <c r="G83" s="70">
        <f>'2020'!K17</f>
        <v>911</v>
      </c>
    </row>
    <row r="84" spans="1:7" x14ac:dyDescent="0.25">
      <c r="A84" s="58" t="s">
        <v>17</v>
      </c>
      <c r="B84" s="70">
        <v>660</v>
      </c>
      <c r="D84" s="259">
        <f t="shared" si="0"/>
        <v>-660</v>
      </c>
      <c r="G84" s="70">
        <f>'2020'!K18</f>
        <v>610</v>
      </c>
    </row>
    <row r="85" spans="1:7" x14ac:dyDescent="0.25">
      <c r="A85" s="58" t="s">
        <v>33</v>
      </c>
      <c r="B85" s="70">
        <v>1000</v>
      </c>
      <c r="D85" s="259">
        <f t="shared" si="0"/>
        <v>-1000</v>
      </c>
      <c r="G85" s="70">
        <f>'2020'!K19</f>
        <v>827</v>
      </c>
    </row>
    <row r="86" spans="1:7" x14ac:dyDescent="0.25">
      <c r="A86" s="58" t="s">
        <v>14</v>
      </c>
      <c r="B86" s="70">
        <v>77580</v>
      </c>
      <c r="D86" s="259">
        <f t="shared" si="0"/>
        <v>-77580</v>
      </c>
      <c r="G86" s="70">
        <f>'2020'!K20</f>
        <v>77580</v>
      </c>
    </row>
    <row r="87" spans="1:7" x14ac:dyDescent="0.25">
      <c r="A87" s="63" t="s">
        <v>35</v>
      </c>
      <c r="B87" s="71">
        <v>750</v>
      </c>
      <c r="C87" s="71"/>
      <c r="D87" s="263">
        <f t="shared" si="0"/>
        <v>-750</v>
      </c>
      <c r="G87" s="71">
        <f>'2020'!K22</f>
        <v>545</v>
      </c>
    </row>
    <row r="88" spans="1:7" x14ac:dyDescent="0.25">
      <c r="A88" s="58" t="s">
        <v>36</v>
      </c>
      <c r="B88" s="71">
        <v>1000</v>
      </c>
      <c r="C88" s="71"/>
      <c r="D88" s="263">
        <f t="shared" si="0"/>
        <v>-1000</v>
      </c>
      <c r="G88" s="71">
        <f>'2020'!K23</f>
        <v>119</v>
      </c>
    </row>
    <row r="89" spans="1:7" x14ac:dyDescent="0.25">
      <c r="A89" s="58" t="s">
        <v>97</v>
      </c>
      <c r="B89" s="71">
        <v>113</v>
      </c>
      <c r="C89" s="71"/>
      <c r="D89" s="263">
        <f t="shared" si="0"/>
        <v>-113</v>
      </c>
      <c r="G89" s="71">
        <f>'2020'!K24</f>
        <v>113</v>
      </c>
    </row>
    <row r="90" spans="1:7" x14ac:dyDescent="0.25">
      <c r="A90" s="58" t="s">
        <v>73</v>
      </c>
      <c r="B90" s="71">
        <v>4500</v>
      </c>
      <c r="C90" s="71"/>
      <c r="D90" s="263">
        <f t="shared" si="0"/>
        <v>-4500</v>
      </c>
      <c r="G90" s="58">
        <f>'2020'!K25</f>
        <v>4800</v>
      </c>
    </row>
    <row r="91" spans="1:7" ht="18.75" thickBot="1" x14ac:dyDescent="0.3">
      <c r="A91" s="67" t="s">
        <v>18</v>
      </c>
      <c r="B91" s="51">
        <f>SUM(B83:B90)+B75+B82</f>
        <v>112345</v>
      </c>
      <c r="C91" s="51">
        <f>SUM(C83:C90)+C75+C82</f>
        <v>0</v>
      </c>
      <c r="D91" s="264">
        <f t="shared" si="0"/>
        <v>-112345</v>
      </c>
      <c r="G91" s="51">
        <f>SUM(G83:G90)+G75+G82</f>
        <v>113352</v>
      </c>
    </row>
    <row r="92" spans="1:7" ht="16.5" thickTop="1" x14ac:dyDescent="0.25">
      <c r="A92" s="68"/>
      <c r="B92" s="71"/>
      <c r="C92" s="71"/>
      <c r="D92" s="130">
        <f t="shared" si="0"/>
        <v>0</v>
      </c>
      <c r="G92" s="71"/>
    </row>
    <row r="93" spans="1:7" x14ac:dyDescent="0.25">
      <c r="A93" s="69" t="s">
        <v>20</v>
      </c>
      <c r="B93" s="91" t="s">
        <v>59</v>
      </c>
      <c r="C93" s="91" t="s">
        <v>60</v>
      </c>
      <c r="D93" s="131" t="s">
        <v>61</v>
      </c>
      <c r="E93" s="91" t="s">
        <v>63</v>
      </c>
      <c r="G93" s="91" t="s">
        <v>60</v>
      </c>
    </row>
    <row r="94" spans="1:7" x14ac:dyDescent="0.25">
      <c r="A94" s="70" t="s">
        <v>21</v>
      </c>
      <c r="B94" s="71">
        <v>58305</v>
      </c>
      <c r="C94" s="71"/>
      <c r="D94" s="265">
        <f t="shared" si="0"/>
        <v>-58305</v>
      </c>
      <c r="G94" s="71">
        <f>'2020'!K33</f>
        <v>59088</v>
      </c>
    </row>
    <row r="95" spans="1:7" x14ac:dyDescent="0.25">
      <c r="A95" s="70" t="s">
        <v>22</v>
      </c>
      <c r="B95" s="71">
        <v>2500</v>
      </c>
      <c r="C95" s="71"/>
      <c r="D95" s="266">
        <f t="shared" si="0"/>
        <v>-2500</v>
      </c>
      <c r="G95" s="71">
        <f>'2020'!K34</f>
        <v>1992</v>
      </c>
    </row>
    <row r="96" spans="1:7" x14ac:dyDescent="0.25">
      <c r="A96" s="70" t="s">
        <v>123</v>
      </c>
      <c r="B96" s="71"/>
      <c r="C96" s="71"/>
      <c r="D96" s="265">
        <f t="shared" si="0"/>
        <v>0</v>
      </c>
      <c r="G96" s="71">
        <f>'2020'!K35</f>
        <v>4310</v>
      </c>
    </row>
    <row r="97" spans="1:7" x14ac:dyDescent="0.25">
      <c r="A97" s="71" t="s">
        <v>27</v>
      </c>
      <c r="B97" s="71">
        <v>13695</v>
      </c>
      <c r="C97" s="71"/>
      <c r="D97" s="265">
        <f t="shared" si="0"/>
        <v>-13695</v>
      </c>
      <c r="G97" s="71">
        <f>'2020'!K36</f>
        <v>14760</v>
      </c>
    </row>
    <row r="98" spans="1:7" x14ac:dyDescent="0.25">
      <c r="A98" s="72" t="s">
        <v>23</v>
      </c>
      <c r="B98" s="54">
        <f>SUM(B94:B97)</f>
        <v>74500</v>
      </c>
      <c r="C98" s="54">
        <f>SUM(C94:C97)</f>
        <v>0</v>
      </c>
      <c r="D98" s="267">
        <f t="shared" si="0"/>
        <v>-74500</v>
      </c>
      <c r="G98" s="54">
        <f>SUM(G94:G97)</f>
        <v>80150</v>
      </c>
    </row>
    <row r="99" spans="1:7" x14ac:dyDescent="0.25">
      <c r="A99" s="70" t="s">
        <v>24</v>
      </c>
      <c r="B99" s="71">
        <v>1200</v>
      </c>
      <c r="C99" s="71"/>
      <c r="D99" s="265">
        <f t="shared" si="0"/>
        <v>-1200</v>
      </c>
      <c r="G99" s="71">
        <f>'2020'!K39</f>
        <v>741</v>
      </c>
    </row>
    <row r="100" spans="1:7" x14ac:dyDescent="0.25">
      <c r="A100" s="70" t="s">
        <v>25</v>
      </c>
      <c r="B100" s="71">
        <v>29000</v>
      </c>
      <c r="C100" s="71"/>
      <c r="D100" s="265">
        <f t="shared" si="0"/>
        <v>-29000</v>
      </c>
      <c r="F100" s="112"/>
      <c r="G100" s="71">
        <f>'2020'!K40</f>
        <v>28809</v>
      </c>
    </row>
    <row r="101" spans="1:7" x14ac:dyDescent="0.25">
      <c r="A101" s="70" t="s">
        <v>26</v>
      </c>
      <c r="B101" s="71">
        <v>250</v>
      </c>
      <c r="C101" s="71"/>
      <c r="D101" s="265">
        <f t="shared" si="0"/>
        <v>-250</v>
      </c>
      <c r="G101" s="71">
        <f>'2020'!K41</f>
        <v>1013</v>
      </c>
    </row>
    <row r="102" spans="1:7" x14ac:dyDescent="0.25">
      <c r="A102" s="70" t="s">
        <v>34</v>
      </c>
      <c r="B102" s="71">
        <v>150</v>
      </c>
      <c r="C102" s="71"/>
      <c r="D102" s="265">
        <f t="shared" si="0"/>
        <v>-150</v>
      </c>
      <c r="G102" s="71">
        <f>'2020'!K42</f>
        <v>222</v>
      </c>
    </row>
    <row r="103" spans="1:7" x14ac:dyDescent="0.25">
      <c r="A103" s="70" t="s">
        <v>28</v>
      </c>
      <c r="B103" s="71">
        <f>Qrtly!J42</f>
        <v>0</v>
      </c>
      <c r="C103" s="71"/>
      <c r="D103" s="130">
        <f t="shared" si="0"/>
        <v>0</v>
      </c>
      <c r="G103" s="71"/>
    </row>
    <row r="104" spans="1:7" ht="16.5" thickBot="1" x14ac:dyDescent="0.3">
      <c r="A104" s="123" t="s">
        <v>29</v>
      </c>
      <c r="B104" s="124">
        <f t="shared" ref="B104:C104" si="1">SUM(B99:B103)+B98</f>
        <v>105100</v>
      </c>
      <c r="C104" s="124">
        <f t="shared" si="1"/>
        <v>0</v>
      </c>
      <c r="D104" s="268">
        <f t="shared" si="0"/>
        <v>-105100</v>
      </c>
      <c r="G104" s="46">
        <f t="shared" ref="G104" si="2">SUM(G99:G103)+G98</f>
        <v>110935</v>
      </c>
    </row>
    <row r="105" spans="1:7" ht="16.5" thickTop="1" x14ac:dyDescent="0.25">
      <c r="A105" s="58" t="s">
        <v>51</v>
      </c>
      <c r="B105" s="71">
        <f>Qrtly!J44</f>
        <v>0</v>
      </c>
      <c r="C105" s="71"/>
      <c r="D105" s="130">
        <f t="shared" si="0"/>
        <v>0</v>
      </c>
      <c r="G105" s="71"/>
    </row>
    <row r="106" spans="1:7" ht="16.5" thickBot="1" x14ac:dyDescent="0.3">
      <c r="A106" s="58" t="s">
        <v>38</v>
      </c>
      <c r="B106" s="71">
        <f>Qrtly!J45</f>
        <v>0</v>
      </c>
      <c r="C106" s="71"/>
      <c r="D106" s="130">
        <f t="shared" si="0"/>
        <v>0</v>
      </c>
      <c r="G106" s="71"/>
    </row>
    <row r="107" spans="1:7" ht="17.25" thickTop="1" thickBot="1" x14ac:dyDescent="0.3">
      <c r="A107" s="125" t="s">
        <v>49</v>
      </c>
      <c r="B107" s="126">
        <f>B104-B91+B105+B106</f>
        <v>-7245</v>
      </c>
      <c r="C107" s="126">
        <f>C104-C91+C105+C106</f>
        <v>0</v>
      </c>
      <c r="D107" s="269">
        <f t="shared" si="0"/>
        <v>7245</v>
      </c>
      <c r="G107" s="47">
        <f>G104-G91+G105+G106</f>
        <v>-2417</v>
      </c>
    </row>
    <row r="108" spans="1:7" ht="17.25" thickTop="1" thickBot="1" x14ac:dyDescent="0.3">
      <c r="B108" s="71"/>
      <c r="C108" s="71"/>
      <c r="D108" s="130">
        <f t="shared" si="0"/>
        <v>0</v>
      </c>
      <c r="G108" s="71"/>
    </row>
    <row r="109" spans="1:7" x14ac:dyDescent="0.25">
      <c r="A109" s="75" t="s">
        <v>30</v>
      </c>
      <c r="B109" s="92"/>
      <c r="C109" s="92"/>
      <c r="D109" s="127">
        <f t="shared" si="0"/>
        <v>0</v>
      </c>
      <c r="G109" s="92"/>
    </row>
    <row r="110" spans="1:7" ht="16.5" thickBot="1" x14ac:dyDescent="0.3">
      <c r="A110" s="76" t="s">
        <v>31</v>
      </c>
      <c r="B110" s="71">
        <v>16514</v>
      </c>
      <c r="C110" s="71">
        <f>B110</f>
        <v>16514</v>
      </c>
      <c r="D110" s="130">
        <f t="shared" si="0"/>
        <v>0</v>
      </c>
      <c r="G110" s="71">
        <f>'2020'!K51</f>
        <v>16514</v>
      </c>
    </row>
    <row r="111" spans="1:7" ht="19.5" thickTop="1" thickBot="1" x14ac:dyDescent="0.3">
      <c r="A111" s="77" t="s">
        <v>70</v>
      </c>
      <c r="B111" s="52">
        <f t="shared" ref="B111:C111" si="3">SUM(B107:B110)</f>
        <v>9269</v>
      </c>
      <c r="C111" s="52">
        <f t="shared" si="3"/>
        <v>16514</v>
      </c>
      <c r="D111" s="270">
        <f t="shared" si="0"/>
        <v>7245</v>
      </c>
      <c r="G111" s="52">
        <f t="shared" ref="G111" si="4">SUM(G107:G110)</f>
        <v>14097</v>
      </c>
    </row>
    <row r="112" spans="1:7" thickBot="1" x14ac:dyDescent="0.3">
      <c r="A112"/>
      <c r="B112"/>
      <c r="C112"/>
      <c r="D112" s="132"/>
    </row>
    <row r="113" spans="1:7" x14ac:dyDescent="0.25">
      <c r="A113" s="78" t="s">
        <v>43</v>
      </c>
      <c r="B113" s="108">
        <v>15650</v>
      </c>
      <c r="C113" s="108"/>
      <c r="D113" s="271">
        <f t="shared" si="0"/>
        <v>-15650</v>
      </c>
      <c r="F113" s="113"/>
      <c r="G113" s="108">
        <f>'2020'!K55</f>
        <v>16420</v>
      </c>
    </row>
    <row r="114" spans="1:7" x14ac:dyDescent="0.25">
      <c r="A114" s="79" t="s">
        <v>44</v>
      </c>
      <c r="B114" s="109">
        <v>2500</v>
      </c>
      <c r="C114" s="109"/>
      <c r="D114" s="272">
        <f t="shared" si="0"/>
        <v>-2500</v>
      </c>
      <c r="G114" s="109">
        <f>'2020'!K56</f>
        <v>1039</v>
      </c>
    </row>
    <row r="115" spans="1:7" x14ac:dyDescent="0.25">
      <c r="A115" s="80" t="s">
        <v>45</v>
      </c>
      <c r="B115" s="71">
        <f>Qrtly!J55</f>
        <v>47316</v>
      </c>
      <c r="C115" s="71">
        <f>B115</f>
        <v>47316</v>
      </c>
      <c r="D115" s="130">
        <f t="shared" si="0"/>
        <v>0</v>
      </c>
      <c r="E115" s="112"/>
      <c r="G115" s="71">
        <f>'2020'!K57</f>
        <v>64378</v>
      </c>
    </row>
    <row r="116" spans="1:7" x14ac:dyDescent="0.25">
      <c r="A116" s="79" t="s">
        <v>20</v>
      </c>
      <c r="B116" s="71">
        <v>500</v>
      </c>
      <c r="C116" s="71">
        <v>0</v>
      </c>
      <c r="D116" s="130">
        <f t="shared" si="0"/>
        <v>-500</v>
      </c>
      <c r="G116" s="71">
        <f>'2020'!K58</f>
        <v>397</v>
      </c>
    </row>
    <row r="117" spans="1:7" x14ac:dyDescent="0.25">
      <c r="A117" s="81" t="s">
        <v>47</v>
      </c>
      <c r="B117" s="99">
        <v>0</v>
      </c>
      <c r="C117" s="99">
        <v>0</v>
      </c>
      <c r="D117" s="133">
        <f t="shared" si="0"/>
        <v>0</v>
      </c>
      <c r="G117" s="99">
        <v>0</v>
      </c>
    </row>
    <row r="118" spans="1:7" ht="16.5" thickBot="1" x14ac:dyDescent="0.3">
      <c r="A118" s="82" t="s">
        <v>46</v>
      </c>
      <c r="B118" s="50">
        <f t="shared" ref="B118:C118" si="5">B115-B113-B114+B116+B117</f>
        <v>29666</v>
      </c>
      <c r="C118" s="50">
        <f t="shared" si="5"/>
        <v>47316</v>
      </c>
      <c r="D118" s="273">
        <f t="shared" si="0"/>
        <v>17650</v>
      </c>
      <c r="G118" s="50">
        <f>G115-G113-G114+G116+G117</f>
        <v>47316</v>
      </c>
    </row>
    <row r="119" spans="1:7" x14ac:dyDescent="0.25">
      <c r="D119" s="115"/>
      <c r="E119" s="248"/>
    </row>
    <row r="120" spans="1:7" x14ac:dyDescent="0.25">
      <c r="B120" s="110"/>
      <c r="C120"/>
      <c r="D120" s="132"/>
      <c r="G120" s="110"/>
    </row>
  </sheetData>
  <mergeCells count="1">
    <mergeCell ref="B67:E67"/>
  </mergeCells>
  <pageMargins left="0.70866141732283472" right="0.70866141732283472" top="0.74803149606299213" bottom="0.74803149606299213" header="0.31496062992125984" footer="0.31496062992125984"/>
  <pageSetup paperSize="9" scale="7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9"/>
  <sheetViews>
    <sheetView topLeftCell="A112" workbookViewId="0">
      <selection activeCell="A120" sqref="A120:XFD126"/>
    </sheetView>
  </sheetViews>
  <sheetFormatPr defaultRowHeight="15.75" x14ac:dyDescent="0.25"/>
  <cols>
    <col min="1" max="1" width="30.140625" style="70" bestFit="1" customWidth="1"/>
    <col min="2" max="3" width="16.42578125" style="70" customWidth="1"/>
    <col min="4" max="4" width="16.42578125" style="129" customWidth="1"/>
    <col min="5" max="5" width="17.28515625" bestFit="1" customWidth="1"/>
    <col min="6" max="6" width="3.85546875" customWidth="1"/>
    <col min="7" max="7" width="12" customWidth="1"/>
  </cols>
  <sheetData>
    <row r="1" spans="1:7" x14ac:dyDescent="0.25">
      <c r="A1" s="110" t="s">
        <v>126</v>
      </c>
      <c r="D1" s="186"/>
    </row>
    <row r="2" spans="1:7" x14ac:dyDescent="0.25">
      <c r="A2" s="110" t="s">
        <v>127</v>
      </c>
      <c r="B2" s="110"/>
      <c r="D2" s="186"/>
    </row>
    <row r="3" spans="1:7" x14ac:dyDescent="0.25">
      <c r="A3" s="110" t="s">
        <v>149</v>
      </c>
      <c r="D3" s="186"/>
    </row>
    <row r="4" spans="1:7" x14ac:dyDescent="0.25">
      <c r="B4" s="222" t="s">
        <v>60</v>
      </c>
      <c r="C4" s="222" t="s">
        <v>59</v>
      </c>
      <c r="D4" s="223" t="s">
        <v>128</v>
      </c>
      <c r="G4" s="247">
        <v>2019</v>
      </c>
    </row>
    <row r="5" spans="1:7" x14ac:dyDescent="0.25">
      <c r="B5" s="222" t="s">
        <v>130</v>
      </c>
      <c r="C5" s="222" t="s">
        <v>130</v>
      </c>
      <c r="D5" s="222" t="s">
        <v>130</v>
      </c>
      <c r="G5" s="222" t="s">
        <v>130</v>
      </c>
    </row>
    <row r="6" spans="1:7" x14ac:dyDescent="0.25">
      <c r="A6" s="110" t="s">
        <v>114</v>
      </c>
      <c r="D6" s="186"/>
    </row>
    <row r="7" spans="1:7" x14ac:dyDescent="0.25">
      <c r="D7" s="186"/>
    </row>
    <row r="8" spans="1:7" x14ac:dyDescent="0.25">
      <c r="A8" s="70" t="s">
        <v>29</v>
      </c>
      <c r="B8" s="70">
        <f>C104</f>
        <v>0</v>
      </c>
      <c r="C8" s="70">
        <f>B104</f>
        <v>64350</v>
      </c>
      <c r="D8" s="240">
        <f>B8-C8</f>
        <v>-64350</v>
      </c>
      <c r="G8" s="226"/>
    </row>
    <row r="9" spans="1:7" x14ac:dyDescent="0.25">
      <c r="D9" s="186"/>
      <c r="G9" s="224"/>
    </row>
    <row r="10" spans="1:7" x14ac:dyDescent="0.25">
      <c r="A10" s="70" t="s">
        <v>18</v>
      </c>
      <c r="B10" s="109">
        <f>C91</f>
        <v>0</v>
      </c>
      <c r="C10" s="109">
        <f>B91</f>
        <v>72143.25</v>
      </c>
      <c r="D10" s="189">
        <f>C10-B10</f>
        <v>72143.25</v>
      </c>
      <c r="G10" s="227"/>
    </row>
    <row r="11" spans="1:7" x14ac:dyDescent="0.25">
      <c r="D11" s="186"/>
      <c r="G11" s="186"/>
    </row>
    <row r="12" spans="1:7" ht="16.5" thickBot="1" x14ac:dyDescent="0.3">
      <c r="A12" s="70" t="s">
        <v>129</v>
      </c>
      <c r="B12" s="237">
        <f>B8-B10</f>
        <v>0</v>
      </c>
      <c r="C12" s="237">
        <f>C8-C10</f>
        <v>-7793.25</v>
      </c>
      <c r="D12" s="242">
        <f>B12-C12</f>
        <v>7793.25</v>
      </c>
      <c r="G12" s="237">
        <f>G8-G10</f>
        <v>0</v>
      </c>
    </row>
    <row r="13" spans="1:7" ht="16.5" thickTop="1" x14ac:dyDescent="0.25">
      <c r="D13" s="186"/>
    </row>
    <row r="14" spans="1:7" x14ac:dyDescent="0.25">
      <c r="A14" s="110" t="s">
        <v>132</v>
      </c>
      <c r="D14" s="186"/>
    </row>
    <row r="15" spans="1:7" x14ac:dyDescent="0.25">
      <c r="D15" s="186"/>
    </row>
    <row r="16" spans="1:7" x14ac:dyDescent="0.25">
      <c r="A16" s="70" t="s">
        <v>29</v>
      </c>
      <c r="B16" s="70">
        <f>C116</f>
        <v>0</v>
      </c>
      <c r="C16" s="70">
        <f>B116</f>
        <v>300</v>
      </c>
      <c r="D16" s="240">
        <f>B16-C16</f>
        <v>-300</v>
      </c>
      <c r="G16" s="226"/>
    </row>
    <row r="17" spans="1:7" x14ac:dyDescent="0.25">
      <c r="D17" s="186"/>
      <c r="G17" s="224"/>
    </row>
    <row r="18" spans="1:7" x14ac:dyDescent="0.25">
      <c r="A18" s="70" t="s">
        <v>18</v>
      </c>
      <c r="B18" s="109">
        <f>C113+C114</f>
        <v>0</v>
      </c>
      <c r="C18" s="109">
        <f>B113+B114</f>
        <v>14175</v>
      </c>
      <c r="D18" s="241">
        <f>C18-B18</f>
        <v>14175</v>
      </c>
      <c r="G18" s="227"/>
    </row>
    <row r="19" spans="1:7" x14ac:dyDescent="0.25">
      <c r="D19" s="186"/>
      <c r="G19" s="186"/>
    </row>
    <row r="20" spans="1:7" ht="16.5" thickBot="1" x14ac:dyDescent="0.3">
      <c r="A20" s="70" t="s">
        <v>129</v>
      </c>
      <c r="B20" s="237">
        <f>B16-B18</f>
        <v>0</v>
      </c>
      <c r="C20" s="237">
        <f>C16-C18</f>
        <v>-13875</v>
      </c>
      <c r="D20" s="242">
        <f>B20-C20</f>
        <v>13875</v>
      </c>
      <c r="G20" s="237">
        <f>G16-G18</f>
        <v>0</v>
      </c>
    </row>
    <row r="21" spans="1:7" ht="16.5" thickTop="1" x14ac:dyDescent="0.25">
      <c r="D21" s="186"/>
    </row>
    <row r="22" spans="1:7" x14ac:dyDescent="0.25">
      <c r="A22" s="110" t="s">
        <v>138</v>
      </c>
      <c r="D22" s="186"/>
    </row>
    <row r="23" spans="1:7" x14ac:dyDescent="0.25">
      <c r="A23" s="110" t="s">
        <v>147</v>
      </c>
      <c r="D23" s="186"/>
    </row>
    <row r="24" spans="1:7" x14ac:dyDescent="0.25">
      <c r="A24" s="110" t="s">
        <v>148</v>
      </c>
      <c r="D24" s="186"/>
    </row>
    <row r="25" spans="1:7" x14ac:dyDescent="0.25">
      <c r="A25" s="70" t="s">
        <v>142</v>
      </c>
      <c r="D25" s="186"/>
    </row>
    <row r="26" spans="1:7" x14ac:dyDescent="0.25">
      <c r="A26" s="70" t="s">
        <v>152</v>
      </c>
      <c r="D26" s="186"/>
    </row>
    <row r="27" spans="1:7" x14ac:dyDescent="0.25">
      <c r="A27" s="70" t="s">
        <v>145</v>
      </c>
      <c r="D27" s="186"/>
    </row>
    <row r="28" spans="1:7" x14ac:dyDescent="0.25">
      <c r="A28" s="70" t="s">
        <v>146</v>
      </c>
      <c r="D28" s="186"/>
    </row>
    <row r="29" spans="1:7" x14ac:dyDescent="0.25">
      <c r="A29" s="70" t="s">
        <v>144</v>
      </c>
      <c r="D29" s="186"/>
    </row>
    <row r="30" spans="1:7" x14ac:dyDescent="0.25">
      <c r="D30" s="186"/>
    </row>
    <row r="31" spans="1:7" x14ac:dyDescent="0.25">
      <c r="D31" s="186"/>
      <c r="G31" s="225" t="s">
        <v>176</v>
      </c>
    </row>
    <row r="32" spans="1:7" x14ac:dyDescent="0.25">
      <c r="A32" s="110" t="s">
        <v>133</v>
      </c>
      <c r="D32" s="186"/>
    </row>
    <row r="33" spans="1:7" x14ac:dyDescent="0.25">
      <c r="A33" s="70" t="s">
        <v>134</v>
      </c>
      <c r="B33" s="70" t="e">
        <f>#REF!</f>
        <v>#REF!</v>
      </c>
      <c r="D33" s="186"/>
      <c r="G33" s="234">
        <v>41376</v>
      </c>
    </row>
    <row r="34" spans="1:7" x14ac:dyDescent="0.25">
      <c r="A34" s="70" t="s">
        <v>135</v>
      </c>
      <c r="B34" s="109" t="e">
        <f>#REF!</f>
        <v>#REF!</v>
      </c>
      <c r="D34" s="186"/>
      <c r="G34" s="238">
        <v>5940</v>
      </c>
    </row>
    <row r="35" spans="1:7" x14ac:dyDescent="0.25">
      <c r="B35" s="70" t="e">
        <f>B33+B34</f>
        <v>#REF!</v>
      </c>
      <c r="D35" s="186"/>
      <c r="G35" s="235">
        <f>G33+G34</f>
        <v>47316</v>
      </c>
    </row>
    <row r="36" spans="1:7" x14ac:dyDescent="0.25">
      <c r="A36" s="70" t="s">
        <v>114</v>
      </c>
      <c r="B36" s="70">
        <f>C111</f>
        <v>16514</v>
      </c>
      <c r="D36" s="186"/>
      <c r="G36" s="234">
        <v>14097</v>
      </c>
    </row>
    <row r="37" spans="1:7" x14ac:dyDescent="0.25">
      <c r="A37" s="70" t="s">
        <v>74</v>
      </c>
      <c r="B37" s="109" t="e">
        <f>#REF!</f>
        <v>#REF!</v>
      </c>
      <c r="C37" s="245" t="s">
        <v>154</v>
      </c>
      <c r="D37" s="186"/>
      <c r="G37" s="234">
        <f>5653+1362</f>
        <v>7015</v>
      </c>
    </row>
    <row r="38" spans="1:7" ht="16.5" thickBot="1" x14ac:dyDescent="0.3">
      <c r="A38" s="110" t="s">
        <v>116</v>
      </c>
      <c r="B38" s="60" t="e">
        <f>B35+B36+B37</f>
        <v>#REF!</v>
      </c>
      <c r="D38" s="186"/>
      <c r="G38" s="236">
        <f>G35+G36+G37</f>
        <v>68428</v>
      </c>
    </row>
    <row r="39" spans="1:7" ht="16.5" thickTop="1" x14ac:dyDescent="0.25">
      <c r="B39"/>
      <c r="D39" s="186"/>
      <c r="G39" s="234"/>
    </row>
    <row r="40" spans="1:7" x14ac:dyDescent="0.25">
      <c r="A40" s="110" t="s">
        <v>125</v>
      </c>
      <c r="D40" s="186"/>
      <c r="G40" s="234"/>
    </row>
    <row r="41" spans="1:7" x14ac:dyDescent="0.25">
      <c r="A41" s="70" t="s">
        <v>65</v>
      </c>
      <c r="B41" s="70">
        <f>3494+304-6465+25000</f>
        <v>22333</v>
      </c>
      <c r="D41" s="186"/>
      <c r="G41" s="234">
        <v>20730</v>
      </c>
    </row>
    <row r="42" spans="1:7" x14ac:dyDescent="0.25">
      <c r="A42" s="70" t="s">
        <v>66</v>
      </c>
      <c r="B42" s="109">
        <f>75517-25000</f>
        <v>50517</v>
      </c>
      <c r="D42" s="186"/>
      <c r="G42" s="238">
        <v>50760</v>
      </c>
    </row>
    <row r="43" spans="1:7" x14ac:dyDescent="0.25">
      <c r="B43" s="70">
        <f>B41+B42</f>
        <v>72850</v>
      </c>
      <c r="D43" s="186"/>
      <c r="G43" s="243">
        <f>G41+G42</f>
        <v>71490</v>
      </c>
    </row>
    <row r="44" spans="1:7" x14ac:dyDescent="0.25">
      <c r="A44" s="70" t="s">
        <v>137</v>
      </c>
      <c r="B44" s="57"/>
      <c r="D44" s="186"/>
      <c r="G44" s="244">
        <v>-6423</v>
      </c>
    </row>
    <row r="45" spans="1:7" x14ac:dyDescent="0.25">
      <c r="A45" s="70" t="s">
        <v>139</v>
      </c>
      <c r="B45" s="70">
        <f>88+32-3</f>
        <v>117</v>
      </c>
      <c r="D45" s="186"/>
      <c r="G45" s="234">
        <f>1720+36-1</f>
        <v>1755</v>
      </c>
    </row>
    <row r="46" spans="1:7" x14ac:dyDescent="0.25">
      <c r="A46" s="70" t="s">
        <v>115</v>
      </c>
      <c r="B46" s="70">
        <f>2728+233+255</f>
        <v>3216</v>
      </c>
      <c r="C46" s="2" t="s">
        <v>141</v>
      </c>
      <c r="D46" s="186"/>
      <c r="G46" s="234">
        <v>1606</v>
      </c>
    </row>
    <row r="47" spans="1:7" ht="16.5" thickBot="1" x14ac:dyDescent="0.3">
      <c r="B47" s="236">
        <f>SUM(B43:B46)</f>
        <v>76183</v>
      </c>
      <c r="D47" s="186"/>
      <c r="G47" s="236">
        <f>SUM(G43:G46)</f>
        <v>68428</v>
      </c>
    </row>
    <row r="48" spans="1:7" ht="16.5" thickTop="1" x14ac:dyDescent="0.25"/>
    <row r="67" spans="1:7" ht="30.75" x14ac:dyDescent="0.25">
      <c r="A67" s="110" t="s">
        <v>150</v>
      </c>
      <c r="B67" s="291" t="s">
        <v>155</v>
      </c>
      <c r="C67" s="292"/>
      <c r="D67" s="292"/>
      <c r="E67" s="293"/>
      <c r="G67" s="111" t="s">
        <v>151</v>
      </c>
    </row>
    <row r="68" spans="1:7" x14ac:dyDescent="0.25">
      <c r="A68" s="100" t="s">
        <v>19</v>
      </c>
      <c r="B68" s="107" t="s">
        <v>59</v>
      </c>
      <c r="C68" s="107" t="s">
        <v>60</v>
      </c>
      <c r="D68" s="128" t="s">
        <v>61</v>
      </c>
      <c r="E68" s="107" t="s">
        <v>63</v>
      </c>
      <c r="G68" s="111" t="s">
        <v>60</v>
      </c>
    </row>
    <row r="69" spans="1:7" x14ac:dyDescent="0.25">
      <c r="A69" s="58" t="s">
        <v>0</v>
      </c>
      <c r="B69" s="70">
        <f>Qrtly!J3</f>
        <v>1600</v>
      </c>
      <c r="D69" s="258">
        <v>55</v>
      </c>
      <c r="G69" s="70"/>
    </row>
    <row r="70" spans="1:7" x14ac:dyDescent="0.25">
      <c r="A70" s="58" t="s">
        <v>1</v>
      </c>
      <c r="B70" s="70">
        <f>Qrtly!J4</f>
        <v>3000</v>
      </c>
      <c r="D70" s="258">
        <f t="shared" ref="D70:D118" si="0">C70-B70</f>
        <v>-3000</v>
      </c>
      <c r="G70" s="70"/>
    </row>
    <row r="71" spans="1:7" x14ac:dyDescent="0.25">
      <c r="A71" s="58" t="s">
        <v>2</v>
      </c>
      <c r="B71" s="70">
        <f>Qrtly!J5</f>
        <v>450</v>
      </c>
      <c r="D71" s="259">
        <f t="shared" si="0"/>
        <v>-450</v>
      </c>
      <c r="G71" s="70"/>
    </row>
    <row r="72" spans="1:7" x14ac:dyDescent="0.25">
      <c r="A72" s="58" t="s">
        <v>153</v>
      </c>
      <c r="B72" s="70">
        <f>Qrtly!J6+Qrtly!J28</f>
        <v>6350</v>
      </c>
      <c r="D72" s="260">
        <f t="shared" si="0"/>
        <v>-6350</v>
      </c>
      <c r="G72" s="70"/>
    </row>
    <row r="73" spans="1:7" x14ac:dyDescent="0.25">
      <c r="A73" s="58" t="s">
        <v>4</v>
      </c>
      <c r="B73" s="70">
        <f>Qrtly!J7</f>
        <v>200</v>
      </c>
      <c r="D73" s="259">
        <f t="shared" si="0"/>
        <v>-200</v>
      </c>
      <c r="G73" s="70"/>
    </row>
    <row r="74" spans="1:7" x14ac:dyDescent="0.25">
      <c r="A74" s="59" t="s">
        <v>6</v>
      </c>
      <c r="B74" s="70">
        <f>Qrtly!J9</f>
        <v>1979</v>
      </c>
      <c r="D74" s="259">
        <f t="shared" si="0"/>
        <v>-1979</v>
      </c>
      <c r="G74" s="70"/>
    </row>
    <row r="75" spans="1:7" ht="16.5" thickBot="1" x14ac:dyDescent="0.3">
      <c r="A75" s="60" t="s">
        <v>7</v>
      </c>
      <c r="B75" s="89">
        <f>SUM(B69:B74)</f>
        <v>13579</v>
      </c>
      <c r="C75" s="89">
        <f>SUM(C69:C74)</f>
        <v>0</v>
      </c>
      <c r="D75" s="261">
        <f t="shared" si="0"/>
        <v>-13579</v>
      </c>
      <c r="G75" s="89">
        <f>SUM(G69:G74)</f>
        <v>0</v>
      </c>
    </row>
    <row r="76" spans="1:7" ht="16.5" thickTop="1" x14ac:dyDescent="0.25">
      <c r="A76" s="58" t="s">
        <v>42</v>
      </c>
      <c r="B76" s="70">
        <f>Qrtly!J11</f>
        <v>1213</v>
      </c>
      <c r="D76" s="274">
        <f t="shared" si="0"/>
        <v>-1213</v>
      </c>
      <c r="G76" s="70"/>
    </row>
    <row r="77" spans="1:7" x14ac:dyDescent="0.25">
      <c r="A77" s="58" t="s">
        <v>8</v>
      </c>
      <c r="B77" s="70">
        <f>Qrtly!J12</f>
        <v>0</v>
      </c>
      <c r="D77" s="259">
        <f t="shared" si="0"/>
        <v>0</v>
      </c>
      <c r="G77" s="70"/>
    </row>
    <row r="78" spans="1:7" x14ac:dyDescent="0.25">
      <c r="A78" s="58" t="s">
        <v>9</v>
      </c>
      <c r="B78" s="70">
        <f>Qrtly!J13</f>
        <v>375</v>
      </c>
      <c r="D78" s="259">
        <f t="shared" si="0"/>
        <v>-375</v>
      </c>
      <c r="G78" s="70"/>
    </row>
    <row r="79" spans="1:7" x14ac:dyDescent="0.25">
      <c r="A79" s="58" t="s">
        <v>10</v>
      </c>
      <c r="D79" s="259"/>
      <c r="G79" s="70"/>
    </row>
    <row r="80" spans="1:7" x14ac:dyDescent="0.25">
      <c r="A80" s="58" t="s">
        <v>11</v>
      </c>
      <c r="B80" s="70">
        <f>Qrtly!J15</f>
        <v>1975</v>
      </c>
      <c r="D80" s="259">
        <f t="shared" si="0"/>
        <v>-1975</v>
      </c>
      <c r="G80" s="70"/>
    </row>
    <row r="81" spans="1:7" x14ac:dyDescent="0.25">
      <c r="A81" s="58" t="s">
        <v>50</v>
      </c>
      <c r="B81" s="70">
        <f>Qrtly!J16</f>
        <v>0</v>
      </c>
      <c r="D81" s="259">
        <f t="shared" si="0"/>
        <v>0</v>
      </c>
      <c r="G81" s="70"/>
    </row>
    <row r="82" spans="1:7" x14ac:dyDescent="0.25">
      <c r="A82" s="59" t="s">
        <v>48</v>
      </c>
      <c r="B82" s="70">
        <f>Qrtly!J17</f>
        <v>315</v>
      </c>
      <c r="D82" s="259">
        <f t="shared" si="0"/>
        <v>-315</v>
      </c>
      <c r="G82" s="70"/>
    </row>
    <row r="83" spans="1:7" ht="16.5" thickBot="1" x14ac:dyDescent="0.3">
      <c r="A83" s="60" t="s">
        <v>12</v>
      </c>
      <c r="B83" s="89">
        <f>SUM(B76:B82)</f>
        <v>3878</v>
      </c>
      <c r="C83" s="89">
        <f>SUM(C76:C82)</f>
        <v>0</v>
      </c>
      <c r="D83" s="262">
        <f t="shared" si="0"/>
        <v>-3878</v>
      </c>
      <c r="G83" s="89">
        <f>SUM(G76:G82)</f>
        <v>0</v>
      </c>
    </row>
    <row r="84" spans="1:7" ht="16.5" thickTop="1" x14ac:dyDescent="0.25">
      <c r="A84" s="58" t="s">
        <v>13</v>
      </c>
      <c r="B84" s="70">
        <f>Qrtly!J19</f>
        <v>1275</v>
      </c>
      <c r="D84" s="259">
        <f t="shared" si="0"/>
        <v>-1275</v>
      </c>
      <c r="G84" s="70"/>
    </row>
    <row r="85" spans="1:7" x14ac:dyDescent="0.25">
      <c r="A85" s="58" t="s">
        <v>17</v>
      </c>
      <c r="B85" s="70">
        <f>Qrtly!J20</f>
        <v>450</v>
      </c>
      <c r="D85" s="259">
        <f t="shared" si="0"/>
        <v>-450</v>
      </c>
      <c r="G85" s="70"/>
    </row>
    <row r="86" spans="1:7" x14ac:dyDescent="0.25">
      <c r="A86" s="58" t="s">
        <v>33</v>
      </c>
      <c r="B86" s="70">
        <f>Qrtly!J21</f>
        <v>750</v>
      </c>
      <c r="D86" s="259">
        <f t="shared" si="0"/>
        <v>-750</v>
      </c>
      <c r="G86" s="70"/>
    </row>
    <row r="87" spans="1:7" x14ac:dyDescent="0.25">
      <c r="A87" s="58" t="s">
        <v>14</v>
      </c>
      <c r="B87" s="70">
        <f>Qrtly!J22</f>
        <v>51705</v>
      </c>
      <c r="D87" s="259">
        <f t="shared" si="0"/>
        <v>-51705</v>
      </c>
      <c r="G87" s="70"/>
    </row>
    <row r="88" spans="1:7" x14ac:dyDescent="0.25">
      <c r="A88" s="63" t="s">
        <v>35</v>
      </c>
      <c r="B88" s="71">
        <f>Qrtly!J23</f>
        <v>375</v>
      </c>
      <c r="C88" s="71"/>
      <c r="D88" s="263">
        <f t="shared" si="0"/>
        <v>-375</v>
      </c>
      <c r="G88" s="71"/>
    </row>
    <row r="89" spans="1:7" x14ac:dyDescent="0.25">
      <c r="A89" s="58" t="s">
        <v>36</v>
      </c>
      <c r="B89" s="71">
        <f>Qrtly!J24</f>
        <v>131.25</v>
      </c>
      <c r="C89" s="71"/>
      <c r="D89" s="263">
        <f t="shared" si="0"/>
        <v>-131.25</v>
      </c>
      <c r="G89" s="71"/>
    </row>
    <row r="90" spans="1:7" x14ac:dyDescent="0.25">
      <c r="A90" s="58" t="s">
        <v>16</v>
      </c>
      <c r="B90" s="71">
        <f>Qrtly!J25</f>
        <v>0</v>
      </c>
      <c r="C90" s="71"/>
      <c r="D90" s="130">
        <f t="shared" si="0"/>
        <v>0</v>
      </c>
    </row>
    <row r="91" spans="1:7" ht="18.75" thickBot="1" x14ac:dyDescent="0.3">
      <c r="A91" s="67" t="s">
        <v>18</v>
      </c>
      <c r="B91" s="51">
        <f>SUM(B84:B90)+B75+B83</f>
        <v>72143.25</v>
      </c>
      <c r="C91" s="51">
        <f>SUM(C84:C90)+C75+C83</f>
        <v>0</v>
      </c>
      <c r="D91" s="264">
        <f t="shared" si="0"/>
        <v>-72143.25</v>
      </c>
      <c r="G91" s="51">
        <f>SUM(G84:G90)+G75+G83</f>
        <v>0</v>
      </c>
    </row>
    <row r="92" spans="1:7" ht="16.5" thickTop="1" x14ac:dyDescent="0.25">
      <c r="A92" s="68"/>
      <c r="B92" s="71"/>
      <c r="C92" s="71"/>
      <c r="D92" s="130">
        <f t="shared" si="0"/>
        <v>0</v>
      </c>
      <c r="G92" s="71"/>
    </row>
    <row r="93" spans="1:7" x14ac:dyDescent="0.25">
      <c r="A93" s="69" t="s">
        <v>20</v>
      </c>
      <c r="B93" s="91" t="s">
        <v>59</v>
      </c>
      <c r="C93" s="91" t="s">
        <v>60</v>
      </c>
      <c r="D93" s="131" t="s">
        <v>61</v>
      </c>
      <c r="E93" s="91" t="s">
        <v>63</v>
      </c>
      <c r="G93" s="91" t="s">
        <v>60</v>
      </c>
    </row>
    <row r="94" spans="1:7" x14ac:dyDescent="0.25">
      <c r="A94" s="70" t="s">
        <v>21</v>
      </c>
      <c r="B94" s="71">
        <f>Qrtly!J33</f>
        <v>42750</v>
      </c>
      <c r="C94" s="71"/>
      <c r="D94" s="265">
        <f t="shared" si="0"/>
        <v>-42750</v>
      </c>
      <c r="G94" s="71"/>
    </row>
    <row r="95" spans="1:7" x14ac:dyDescent="0.25">
      <c r="A95" s="70" t="s">
        <v>22</v>
      </c>
      <c r="B95" s="71">
        <f>Qrtly!J34</f>
        <v>875</v>
      </c>
      <c r="C95" s="71"/>
      <c r="D95" s="266">
        <f t="shared" si="0"/>
        <v>-875</v>
      </c>
      <c r="G95" s="71"/>
    </row>
    <row r="96" spans="1:7" x14ac:dyDescent="0.25">
      <c r="A96" s="70" t="s">
        <v>123</v>
      </c>
      <c r="B96" s="71"/>
      <c r="C96" s="71"/>
      <c r="D96" s="265">
        <f t="shared" si="0"/>
        <v>0</v>
      </c>
      <c r="G96" s="71"/>
    </row>
    <row r="97" spans="1:7" x14ac:dyDescent="0.25">
      <c r="A97" s="71" t="s">
        <v>27</v>
      </c>
      <c r="B97" s="71">
        <f>Qrtly!J35</f>
        <v>9750</v>
      </c>
      <c r="C97" s="71"/>
      <c r="D97" s="130">
        <f t="shared" si="0"/>
        <v>-9750</v>
      </c>
      <c r="G97" s="71"/>
    </row>
    <row r="98" spans="1:7" x14ac:dyDescent="0.25">
      <c r="A98" s="72" t="s">
        <v>23</v>
      </c>
      <c r="B98" s="54">
        <f>SUM(B94:B97)</f>
        <v>53375</v>
      </c>
      <c r="C98" s="54">
        <f>SUM(C94:C97)</f>
        <v>0</v>
      </c>
      <c r="D98" s="267">
        <f t="shared" si="0"/>
        <v>-53375</v>
      </c>
      <c r="G98" s="54"/>
    </row>
    <row r="99" spans="1:7" x14ac:dyDescent="0.25">
      <c r="A99" s="70" t="s">
        <v>24</v>
      </c>
      <c r="B99" s="71">
        <f>Qrtly!J38</f>
        <v>600</v>
      </c>
      <c r="C99" s="71"/>
      <c r="D99" s="265">
        <f t="shared" si="0"/>
        <v>-600</v>
      </c>
      <c r="G99" s="71"/>
    </row>
    <row r="100" spans="1:7" x14ac:dyDescent="0.25">
      <c r="A100" s="70" t="s">
        <v>25</v>
      </c>
      <c r="B100" s="71">
        <f>Qrtly!J39</f>
        <v>9850</v>
      </c>
      <c r="C100" s="71"/>
      <c r="D100" s="265">
        <f t="shared" si="0"/>
        <v>-9850</v>
      </c>
      <c r="F100" s="112"/>
      <c r="G100" s="71"/>
    </row>
    <row r="101" spans="1:7" x14ac:dyDescent="0.25">
      <c r="A101" s="70" t="s">
        <v>26</v>
      </c>
      <c r="B101" s="71">
        <f>Qrtly!J40</f>
        <v>375</v>
      </c>
      <c r="C101" s="71"/>
      <c r="D101" s="265">
        <f t="shared" si="0"/>
        <v>-375</v>
      </c>
      <c r="G101" s="71"/>
    </row>
    <row r="102" spans="1:7" x14ac:dyDescent="0.25">
      <c r="A102" s="70" t="s">
        <v>34</v>
      </c>
      <c r="B102" s="71">
        <f>Qrtly!J41</f>
        <v>150</v>
      </c>
      <c r="C102" s="71"/>
      <c r="D102" s="265">
        <f t="shared" si="0"/>
        <v>-150</v>
      </c>
      <c r="G102" s="71"/>
    </row>
    <row r="103" spans="1:7" x14ac:dyDescent="0.25">
      <c r="A103" s="70" t="s">
        <v>28</v>
      </c>
      <c r="B103" s="71">
        <f>Qrtly!J42</f>
        <v>0</v>
      </c>
      <c r="C103" s="71"/>
      <c r="D103" s="130">
        <f t="shared" si="0"/>
        <v>0</v>
      </c>
      <c r="G103" s="71"/>
    </row>
    <row r="104" spans="1:7" ht="16.5" thickBot="1" x14ac:dyDescent="0.3">
      <c r="A104" s="123" t="s">
        <v>29</v>
      </c>
      <c r="B104" s="124">
        <f t="shared" ref="B104:C104" si="1">SUM(B99:B103)+B98</f>
        <v>64350</v>
      </c>
      <c r="C104" s="124">
        <f t="shared" si="1"/>
        <v>0</v>
      </c>
      <c r="D104" s="268">
        <f t="shared" si="0"/>
        <v>-64350</v>
      </c>
      <c r="G104" s="46">
        <f t="shared" ref="G104" si="2">SUM(G99:G103)+G98</f>
        <v>0</v>
      </c>
    </row>
    <row r="105" spans="1:7" ht="16.5" thickTop="1" x14ac:dyDescent="0.25">
      <c r="A105" s="58" t="s">
        <v>51</v>
      </c>
      <c r="B105" s="71">
        <f>Qrtly!J44</f>
        <v>0</v>
      </c>
      <c r="C105" s="71"/>
      <c r="D105" s="130">
        <f t="shared" si="0"/>
        <v>0</v>
      </c>
      <c r="G105" s="71"/>
    </row>
    <row r="106" spans="1:7" ht="16.5" thickBot="1" x14ac:dyDescent="0.3">
      <c r="A106" s="58" t="s">
        <v>38</v>
      </c>
      <c r="B106" s="71">
        <f>Qrtly!J45</f>
        <v>0</v>
      </c>
      <c r="C106" s="71"/>
      <c r="D106" s="130">
        <f t="shared" si="0"/>
        <v>0</v>
      </c>
      <c r="G106" s="71"/>
    </row>
    <row r="107" spans="1:7" ht="17.25" thickTop="1" thickBot="1" x14ac:dyDescent="0.3">
      <c r="A107" s="125" t="s">
        <v>49</v>
      </c>
      <c r="B107" s="126">
        <f>B104-B91+B105+B106</f>
        <v>-7793.25</v>
      </c>
      <c r="C107" s="126">
        <f>C104-C91+C105+C106</f>
        <v>0</v>
      </c>
      <c r="D107" s="269">
        <f t="shared" si="0"/>
        <v>7793.25</v>
      </c>
      <c r="G107" s="47">
        <f>G104-G91+G105+G106</f>
        <v>0</v>
      </c>
    </row>
    <row r="108" spans="1:7" ht="17.25" thickTop="1" thickBot="1" x14ac:dyDescent="0.3">
      <c r="B108" s="71"/>
      <c r="C108" s="71"/>
      <c r="D108" s="130">
        <f t="shared" si="0"/>
        <v>0</v>
      </c>
      <c r="G108" s="71"/>
    </row>
    <row r="109" spans="1:7" x14ac:dyDescent="0.25">
      <c r="A109" s="75" t="s">
        <v>30</v>
      </c>
      <c r="B109" s="92"/>
      <c r="C109" s="92"/>
      <c r="D109" s="127">
        <f t="shared" si="0"/>
        <v>0</v>
      </c>
      <c r="G109" s="92"/>
    </row>
    <row r="110" spans="1:7" ht="16.5" thickBot="1" x14ac:dyDescent="0.3">
      <c r="A110" s="76" t="s">
        <v>31</v>
      </c>
      <c r="B110" s="71">
        <v>16514</v>
      </c>
      <c r="C110" s="71">
        <f>B110</f>
        <v>16514</v>
      </c>
      <c r="D110" s="130">
        <f t="shared" si="0"/>
        <v>0</v>
      </c>
      <c r="G110" s="71">
        <f>'2020'!K51</f>
        <v>16514</v>
      </c>
    </row>
    <row r="111" spans="1:7" ht="19.5" thickTop="1" thickBot="1" x14ac:dyDescent="0.3">
      <c r="A111" s="77" t="s">
        <v>70</v>
      </c>
      <c r="B111" s="52">
        <f t="shared" ref="B111:C111" si="3">SUM(B107:B110)</f>
        <v>8720.75</v>
      </c>
      <c r="C111" s="52">
        <f t="shared" si="3"/>
        <v>16514</v>
      </c>
      <c r="D111" s="270">
        <f t="shared" si="0"/>
        <v>7793.25</v>
      </c>
      <c r="G111" s="52">
        <f t="shared" ref="G111" si="4">SUM(G107:G110)</f>
        <v>16514</v>
      </c>
    </row>
    <row r="112" spans="1:7" thickBot="1" x14ac:dyDescent="0.3">
      <c r="A112"/>
      <c r="B112"/>
      <c r="C112"/>
      <c r="D112" s="132"/>
    </row>
    <row r="113" spans="1:7" x14ac:dyDescent="0.25">
      <c r="A113" s="78" t="s">
        <v>43</v>
      </c>
      <c r="B113" s="108">
        <f>Qrtly!J53</f>
        <v>12300</v>
      </c>
      <c r="C113" s="108"/>
      <c r="D113" s="271">
        <f t="shared" si="0"/>
        <v>-12300</v>
      </c>
      <c r="F113" s="113"/>
      <c r="G113" s="108"/>
    </row>
    <row r="114" spans="1:7" x14ac:dyDescent="0.25">
      <c r="A114" s="79" t="s">
        <v>44</v>
      </c>
      <c r="B114" s="109">
        <f>Qrtly!J54</f>
        <v>1875</v>
      </c>
      <c r="C114" s="109"/>
      <c r="D114" s="272">
        <f t="shared" si="0"/>
        <v>-1875</v>
      </c>
      <c r="G114" s="109"/>
    </row>
    <row r="115" spans="1:7" x14ac:dyDescent="0.25">
      <c r="A115" s="80" t="s">
        <v>45</v>
      </c>
      <c r="B115" s="71">
        <f>Qrtly!J55</f>
        <v>47316</v>
      </c>
      <c r="C115" s="71">
        <f>B115</f>
        <v>47316</v>
      </c>
      <c r="D115" s="130">
        <f t="shared" si="0"/>
        <v>0</v>
      </c>
      <c r="E115" s="112"/>
      <c r="G115" s="71">
        <f>'2020'!K57</f>
        <v>64378</v>
      </c>
    </row>
    <row r="116" spans="1:7" x14ac:dyDescent="0.25">
      <c r="A116" s="79" t="s">
        <v>20</v>
      </c>
      <c r="B116" s="71">
        <f>Qrtly!J56</f>
        <v>300</v>
      </c>
      <c r="C116" s="71">
        <v>0</v>
      </c>
      <c r="D116" s="130">
        <f t="shared" si="0"/>
        <v>-300</v>
      </c>
      <c r="G116" s="71"/>
    </row>
    <row r="117" spans="1:7" x14ac:dyDescent="0.25">
      <c r="A117" s="81" t="s">
        <v>47</v>
      </c>
      <c r="B117" s="99">
        <v>0</v>
      </c>
      <c r="C117" s="99">
        <v>0</v>
      </c>
      <c r="D117" s="133">
        <f t="shared" si="0"/>
        <v>0</v>
      </c>
      <c r="G117" s="99">
        <v>0</v>
      </c>
    </row>
    <row r="118" spans="1:7" ht="16.5" thickBot="1" x14ac:dyDescent="0.3">
      <c r="A118" s="82" t="s">
        <v>46</v>
      </c>
      <c r="B118" s="50">
        <f t="shared" ref="B118:C118" si="5">B115-B113-B114+B116+B117</f>
        <v>33441</v>
      </c>
      <c r="C118" s="50">
        <f t="shared" si="5"/>
        <v>47316</v>
      </c>
      <c r="D118" s="273">
        <f t="shared" si="0"/>
        <v>13875</v>
      </c>
      <c r="G118" s="50">
        <f>G115-G113-G114+G116+G117</f>
        <v>64378</v>
      </c>
    </row>
    <row r="119" spans="1:7" x14ac:dyDescent="0.25">
      <c r="D119" s="115"/>
      <c r="E119" s="248"/>
    </row>
  </sheetData>
  <mergeCells count="1">
    <mergeCell ref="B67:E67"/>
  </mergeCells>
  <pageMargins left="0.70866141732283472" right="0.70866141732283472" top="0.74803149606299213" bottom="0.74803149606299213" header="0.31496062992125984" footer="0.31496062992125984"/>
  <pageSetup paperSize="9" scale="7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3"/>
  <sheetViews>
    <sheetView tabSelected="1" topLeftCell="A2" zoomScaleNormal="100" workbookViewId="0">
      <selection activeCell="A26" sqref="A26"/>
    </sheetView>
  </sheetViews>
  <sheetFormatPr defaultRowHeight="15.75" x14ac:dyDescent="0.25"/>
  <cols>
    <col min="1" max="1" width="30.140625" style="70" bestFit="1" customWidth="1"/>
    <col min="2" max="3" width="16.42578125" style="70" customWidth="1"/>
    <col min="4" max="4" width="16.42578125" style="115" customWidth="1"/>
    <col min="5" max="5" width="17.28515625" bestFit="1" customWidth="1"/>
    <col min="6" max="6" width="2.85546875" customWidth="1"/>
    <col min="7" max="7" width="12.7109375" customWidth="1"/>
  </cols>
  <sheetData>
    <row r="1" spans="1:7" x14ac:dyDescent="0.25">
      <c r="A1" s="110" t="s">
        <v>126</v>
      </c>
      <c r="D1" s="186"/>
    </row>
    <row r="2" spans="1:7" x14ac:dyDescent="0.25">
      <c r="A2" s="110" t="s">
        <v>127</v>
      </c>
      <c r="B2" s="110" t="s">
        <v>197</v>
      </c>
      <c r="D2" s="186"/>
    </row>
    <row r="3" spans="1:7" x14ac:dyDescent="0.25">
      <c r="A3" s="110" t="str">
        <f>'Q3'!A3</f>
        <v>Summary</v>
      </c>
      <c r="D3" s="186"/>
      <c r="G3" s="286" t="s">
        <v>198</v>
      </c>
    </row>
    <row r="4" spans="1:7" x14ac:dyDescent="0.25">
      <c r="B4" s="222" t="s">
        <v>60</v>
      </c>
      <c r="C4" s="222" t="s">
        <v>59</v>
      </c>
      <c r="D4" s="223" t="s">
        <v>128</v>
      </c>
      <c r="G4" s="285">
        <v>43677</v>
      </c>
    </row>
    <row r="5" spans="1:7" x14ac:dyDescent="0.25">
      <c r="B5" s="222" t="s">
        <v>130</v>
      </c>
      <c r="C5" s="222" t="s">
        <v>130</v>
      </c>
      <c r="D5" s="222" t="s">
        <v>130</v>
      </c>
      <c r="G5" s="222" t="s">
        <v>130</v>
      </c>
    </row>
    <row r="6" spans="1:7" x14ac:dyDescent="0.25">
      <c r="A6" s="110" t="s">
        <v>114</v>
      </c>
      <c r="D6" s="186"/>
    </row>
    <row r="7" spans="1:7" x14ac:dyDescent="0.25">
      <c r="D7" s="186"/>
    </row>
    <row r="8" spans="1:7" x14ac:dyDescent="0.25">
      <c r="A8" s="70" t="s">
        <v>29</v>
      </c>
      <c r="B8" s="70">
        <f>C102</f>
        <v>53943</v>
      </c>
      <c r="C8" s="70">
        <f>B102</f>
        <v>50050</v>
      </c>
      <c r="D8" s="240">
        <f>B8-C8</f>
        <v>3893</v>
      </c>
      <c r="G8" s="226">
        <f>G102</f>
        <v>65306.875</v>
      </c>
    </row>
    <row r="9" spans="1:7" x14ac:dyDescent="0.25">
      <c r="D9" s="186"/>
      <c r="G9" s="224"/>
    </row>
    <row r="10" spans="1:7" x14ac:dyDescent="0.25">
      <c r="A10" s="70" t="s">
        <v>18</v>
      </c>
      <c r="B10" s="109">
        <f>C89</f>
        <v>52870</v>
      </c>
      <c r="C10" s="109">
        <f>B89</f>
        <v>56591.972222222219</v>
      </c>
      <c r="D10" s="241">
        <f>C10-B10</f>
        <v>3721.972222222219</v>
      </c>
      <c r="G10" s="227">
        <f>G89</f>
        <v>62497.75</v>
      </c>
    </row>
    <row r="11" spans="1:7" x14ac:dyDescent="0.25">
      <c r="D11" s="186"/>
      <c r="G11" s="186"/>
    </row>
    <row r="12" spans="1:7" ht="16.5" thickBot="1" x14ac:dyDescent="0.3">
      <c r="A12" s="70" t="s">
        <v>129</v>
      </c>
      <c r="B12" s="237">
        <f>B8-B10</f>
        <v>1073</v>
      </c>
      <c r="C12" s="237">
        <f>C8-C10</f>
        <v>-6541.972222222219</v>
      </c>
      <c r="D12" s="242">
        <f>B12-C12</f>
        <v>7614.972222222219</v>
      </c>
      <c r="G12" s="232">
        <f>G8-G10</f>
        <v>2809.125</v>
      </c>
    </row>
    <row r="13" spans="1:7" ht="16.5" thickTop="1" x14ac:dyDescent="0.25">
      <c r="D13" s="186"/>
    </row>
    <row r="14" spans="1:7" x14ac:dyDescent="0.25">
      <c r="A14" s="110" t="s">
        <v>132</v>
      </c>
      <c r="D14" s="186"/>
    </row>
    <row r="15" spans="1:7" x14ac:dyDescent="0.25">
      <c r="D15" s="186"/>
    </row>
    <row r="16" spans="1:7" x14ac:dyDescent="0.25">
      <c r="A16" s="70" t="s">
        <v>29</v>
      </c>
      <c r="B16" s="70">
        <f>C114</f>
        <v>0</v>
      </c>
      <c r="C16" s="70">
        <f>B114</f>
        <v>233.33333333333334</v>
      </c>
      <c r="D16" s="240">
        <f>B16-C16</f>
        <v>-233.33333333333334</v>
      </c>
      <c r="G16" s="226">
        <f>G114</f>
        <v>21</v>
      </c>
    </row>
    <row r="17" spans="1:7" x14ac:dyDescent="0.25">
      <c r="D17" s="186"/>
      <c r="G17" s="224"/>
    </row>
    <row r="18" spans="1:7" x14ac:dyDescent="0.25">
      <c r="A18" s="70" t="s">
        <v>18</v>
      </c>
      <c r="B18" s="109">
        <f>C111+C112</f>
        <v>9596</v>
      </c>
      <c r="C18" s="109">
        <f>B111+B112</f>
        <v>11025.000000000002</v>
      </c>
      <c r="D18" s="241">
        <f>C18-B18</f>
        <v>1429.0000000000018</v>
      </c>
      <c r="G18" s="227">
        <f>G111+G112</f>
        <v>9574</v>
      </c>
    </row>
    <row r="19" spans="1:7" x14ac:dyDescent="0.25">
      <c r="D19" s="186"/>
      <c r="G19" s="186"/>
    </row>
    <row r="20" spans="1:7" ht="16.5" thickBot="1" x14ac:dyDescent="0.3">
      <c r="A20" s="70" t="s">
        <v>129</v>
      </c>
      <c r="B20" s="237">
        <f>B16-B18</f>
        <v>-9596</v>
      </c>
      <c r="C20" s="237">
        <f>C16-C18</f>
        <v>-10791.666666666668</v>
      </c>
      <c r="D20" s="242">
        <f>B20-C20</f>
        <v>1195.6666666666679</v>
      </c>
      <c r="G20" s="237">
        <f>G16-G18</f>
        <v>-9553</v>
      </c>
    </row>
    <row r="21" spans="1:7" ht="16.5" thickTop="1" x14ac:dyDescent="0.25">
      <c r="D21" s="186"/>
    </row>
    <row r="22" spans="1:7" x14ac:dyDescent="0.25">
      <c r="A22" s="110" t="s">
        <v>138</v>
      </c>
      <c r="D22" s="186"/>
    </row>
    <row r="23" spans="1:7" x14ac:dyDescent="0.25">
      <c r="A23" s="70" t="s">
        <v>182</v>
      </c>
      <c r="D23" s="186"/>
    </row>
    <row r="24" spans="1:7" x14ac:dyDescent="0.25">
      <c r="A24" s="70" t="s">
        <v>193</v>
      </c>
      <c r="D24" s="186"/>
    </row>
    <row r="25" spans="1:7" x14ac:dyDescent="0.25">
      <c r="A25" s="70" t="s">
        <v>203</v>
      </c>
      <c r="D25" s="186"/>
    </row>
    <row r="26" spans="1:7" x14ac:dyDescent="0.25">
      <c r="A26" s="70" t="s">
        <v>202</v>
      </c>
      <c r="D26" s="186"/>
    </row>
    <row r="27" spans="1:7" x14ac:dyDescent="0.25">
      <c r="A27" s="70" t="s">
        <v>194</v>
      </c>
      <c r="D27" s="186"/>
    </row>
    <row r="28" spans="1:7" x14ac:dyDescent="0.25">
      <c r="A28" s="70" t="s">
        <v>196</v>
      </c>
      <c r="D28" s="186"/>
    </row>
    <row r="29" spans="1:7" x14ac:dyDescent="0.25">
      <c r="D29" s="186"/>
    </row>
    <row r="30" spans="1:7" x14ac:dyDescent="0.25">
      <c r="D30" s="186"/>
      <c r="G30" s="225" t="str">
        <f>'Q1'!G32</f>
        <v>At 31.12.19</v>
      </c>
    </row>
    <row r="31" spans="1:7" x14ac:dyDescent="0.25">
      <c r="A31" s="110" t="s">
        <v>133</v>
      </c>
      <c r="D31" s="186"/>
    </row>
    <row r="32" spans="1:7" x14ac:dyDescent="0.25">
      <c r="A32" s="70" t="s">
        <v>134</v>
      </c>
      <c r="B32" s="70">
        <f>C116</f>
        <v>37720</v>
      </c>
      <c r="D32" s="186"/>
      <c r="G32" s="234">
        <f>'Q1'!G34</f>
        <v>41376</v>
      </c>
    </row>
    <row r="33" spans="1:7" x14ac:dyDescent="0.25">
      <c r="A33" s="70" t="s">
        <v>135</v>
      </c>
      <c r="B33" s="109">
        <v>0</v>
      </c>
      <c r="D33" s="186"/>
      <c r="G33" s="238">
        <f>'Q1'!G35</f>
        <v>5940</v>
      </c>
    </row>
    <row r="34" spans="1:7" x14ac:dyDescent="0.25">
      <c r="B34" s="70">
        <f>B32+B33</f>
        <v>37720</v>
      </c>
      <c r="D34" s="186"/>
      <c r="G34" s="235">
        <f>G32+G33</f>
        <v>47316</v>
      </c>
    </row>
    <row r="35" spans="1:7" x14ac:dyDescent="0.25">
      <c r="A35" s="70" t="s">
        <v>114</v>
      </c>
      <c r="B35" s="70">
        <f>C109</f>
        <v>15170</v>
      </c>
      <c r="D35" s="186"/>
      <c r="G35" s="234">
        <f>'Q1'!G37</f>
        <v>14097</v>
      </c>
    </row>
    <row r="36" spans="1:7" x14ac:dyDescent="0.25">
      <c r="A36" s="70" t="s">
        <v>74</v>
      </c>
      <c r="B36" s="109">
        <f>1505-153+280+11+926+2639+242+1362+981</f>
        <v>7793</v>
      </c>
      <c r="C36" s="245" t="s">
        <v>201</v>
      </c>
      <c r="D36" s="186"/>
      <c r="G36" s="234">
        <f>'Q1'!G38</f>
        <v>7015</v>
      </c>
    </row>
    <row r="37" spans="1:7" ht="16.5" thickBot="1" x14ac:dyDescent="0.3">
      <c r="A37" s="110" t="s">
        <v>116</v>
      </c>
      <c r="B37" s="60">
        <f>B34+B35+B36</f>
        <v>60683</v>
      </c>
      <c r="D37" s="186"/>
      <c r="G37" s="236">
        <f>G34+G35+G36</f>
        <v>68428</v>
      </c>
    </row>
    <row r="38" spans="1:7" ht="16.5" thickTop="1" x14ac:dyDescent="0.25">
      <c r="B38"/>
      <c r="D38" s="186"/>
      <c r="G38" s="234"/>
    </row>
    <row r="39" spans="1:7" x14ac:dyDescent="0.25">
      <c r="A39" s="110" t="s">
        <v>125</v>
      </c>
      <c r="D39" s="186"/>
      <c r="G39" s="234"/>
    </row>
    <row r="40" spans="1:7" x14ac:dyDescent="0.25">
      <c r="A40" s="70" t="s">
        <v>65</v>
      </c>
      <c r="B40" s="70">
        <v>17326</v>
      </c>
      <c r="D40" s="186"/>
      <c r="G40" s="234">
        <f>'Q1'!G42</f>
        <v>20730</v>
      </c>
    </row>
    <row r="41" spans="1:7" x14ac:dyDescent="0.25">
      <c r="A41" s="70" t="s">
        <v>66</v>
      </c>
      <c r="B41" s="109">
        <v>40845</v>
      </c>
      <c r="D41" s="186"/>
      <c r="G41" s="238">
        <f>'Q1'!G43</f>
        <v>50760</v>
      </c>
    </row>
    <row r="42" spans="1:7" x14ac:dyDescent="0.25">
      <c r="B42" s="70">
        <f>B40+B41</f>
        <v>58171</v>
      </c>
      <c r="D42" s="186"/>
      <c r="G42" s="243">
        <f>G40+G41</f>
        <v>71490</v>
      </c>
    </row>
    <row r="43" spans="1:7" x14ac:dyDescent="0.25">
      <c r="A43" s="70" t="s">
        <v>191</v>
      </c>
      <c r="B43" s="287">
        <v>0</v>
      </c>
      <c r="D43" s="186"/>
      <c r="G43" s="244">
        <f>'Q1'!G45</f>
        <v>-6423</v>
      </c>
    </row>
    <row r="44" spans="1:7" x14ac:dyDescent="0.25">
      <c r="A44" s="70" t="s">
        <v>139</v>
      </c>
      <c r="B44" s="70">
        <v>36</v>
      </c>
      <c r="D44" s="186"/>
      <c r="G44" s="234">
        <f>'Q1'!G46</f>
        <v>1755</v>
      </c>
    </row>
    <row r="45" spans="1:7" x14ac:dyDescent="0.25">
      <c r="A45" s="70" t="s">
        <v>115</v>
      </c>
      <c r="B45" s="70">
        <f>1364+100+870+142</f>
        <v>2476</v>
      </c>
      <c r="C45" s="2" t="s">
        <v>195</v>
      </c>
      <c r="D45" s="186"/>
      <c r="G45" s="234">
        <f>'Q1'!G47</f>
        <v>1606</v>
      </c>
    </row>
    <row r="46" spans="1:7" ht="16.5" thickBot="1" x14ac:dyDescent="0.3">
      <c r="B46" s="236">
        <f>B42+B44+B45+B43</f>
        <v>60683</v>
      </c>
      <c r="D46" s="186"/>
      <c r="G46" s="236">
        <f>SUM(G42:G45)</f>
        <v>68428</v>
      </c>
    </row>
    <row r="47" spans="1:7" ht="16.5" thickTop="1" x14ac:dyDescent="0.25"/>
    <row r="64" spans="1:7" ht="15.6" customHeight="1" x14ac:dyDescent="0.25">
      <c r="A64" s="110" t="s">
        <v>136</v>
      </c>
      <c r="B64" s="291" t="s">
        <v>199</v>
      </c>
      <c r="C64" s="292"/>
      <c r="D64" s="292"/>
      <c r="E64" s="293"/>
      <c r="G64" s="111">
        <v>2019</v>
      </c>
    </row>
    <row r="65" spans="1:7" x14ac:dyDescent="0.25">
      <c r="A65" s="100" t="s">
        <v>19</v>
      </c>
      <c r="B65" s="107" t="s">
        <v>59</v>
      </c>
      <c r="C65" s="107" t="s">
        <v>60</v>
      </c>
      <c r="D65" s="114" t="s">
        <v>61</v>
      </c>
      <c r="E65" s="107" t="s">
        <v>63</v>
      </c>
      <c r="G65" s="111" t="s">
        <v>60</v>
      </c>
    </row>
    <row r="66" spans="1:7" x14ac:dyDescent="0.25">
      <c r="A66" s="58" t="s">
        <v>0</v>
      </c>
      <c r="B66" s="70">
        <f>Qrtly!I3</f>
        <v>1600</v>
      </c>
      <c r="C66" s="70">
        <v>1686</v>
      </c>
      <c r="D66" s="115">
        <f>C66-B66</f>
        <v>86</v>
      </c>
      <c r="G66" s="70">
        <v>1595</v>
      </c>
    </row>
    <row r="67" spans="1:7" x14ac:dyDescent="0.25">
      <c r="A67" s="58" t="s">
        <v>1</v>
      </c>
      <c r="B67" s="70">
        <v>2750</v>
      </c>
      <c r="C67" s="70">
        <f>1760+1347</f>
        <v>3107</v>
      </c>
      <c r="D67" s="115">
        <f t="shared" ref="D67:D116" si="0">C67-B67</f>
        <v>357</v>
      </c>
      <c r="G67" s="70">
        <f>4515/8*7</f>
        <v>3950.625</v>
      </c>
    </row>
    <row r="68" spans="1:7" x14ac:dyDescent="0.25">
      <c r="A68" s="58" t="s">
        <v>2</v>
      </c>
      <c r="B68" s="70">
        <f>Qrtly!J5/9*7</f>
        <v>350</v>
      </c>
      <c r="C68" s="70">
        <v>109</v>
      </c>
      <c r="D68" s="253">
        <f t="shared" si="0"/>
        <v>-241</v>
      </c>
      <c r="G68" s="70">
        <f>285/8*7</f>
        <v>249.375</v>
      </c>
    </row>
    <row r="69" spans="1:7" x14ac:dyDescent="0.25">
      <c r="A69" s="58" t="str">
        <f>'Q1'!A68</f>
        <v>Maintenance (inc Quint.)</v>
      </c>
      <c r="B69" s="70">
        <f>(Qrtly!J6+Qrtly!J28)/9*7</f>
        <v>4938.8888888888887</v>
      </c>
      <c r="C69" s="70">
        <f>1387+180</f>
        <v>1567</v>
      </c>
      <c r="D69" s="253">
        <f t="shared" si="0"/>
        <v>-3371.8888888888887</v>
      </c>
      <c r="G69" s="70">
        <f>5320/8*7</f>
        <v>4655</v>
      </c>
    </row>
    <row r="70" spans="1:7" x14ac:dyDescent="0.25">
      <c r="A70" s="58" t="s">
        <v>4</v>
      </c>
      <c r="B70" s="70">
        <f>Qrtly!J7/9*7</f>
        <v>155.55555555555554</v>
      </c>
      <c r="C70" s="70">
        <v>125</v>
      </c>
      <c r="D70" s="253">
        <f t="shared" si="0"/>
        <v>-30.555555555555543</v>
      </c>
      <c r="G70" s="70">
        <v>93</v>
      </c>
    </row>
    <row r="71" spans="1:7" x14ac:dyDescent="0.25">
      <c r="A71" s="59" t="s">
        <v>143</v>
      </c>
      <c r="B71" s="70">
        <f>Qrtly!J9/9*7</f>
        <v>1539.2222222222222</v>
      </c>
      <c r="C71" s="70">
        <f>682+773</f>
        <v>1455</v>
      </c>
      <c r="D71" s="253">
        <f t="shared" si="0"/>
        <v>-84.222222222222172</v>
      </c>
      <c r="G71" s="70">
        <f>2596/8*7</f>
        <v>2271.5</v>
      </c>
    </row>
    <row r="72" spans="1:7" ht="16.5" thickBot="1" x14ac:dyDescent="0.3">
      <c r="A72" s="60" t="s">
        <v>7</v>
      </c>
      <c r="B72" s="89">
        <f>SUM(B66:B71)</f>
        <v>11333.666666666666</v>
      </c>
      <c r="C72" s="89">
        <f>SUM(C66:C71)</f>
        <v>8049</v>
      </c>
      <c r="D72" s="254">
        <f t="shared" si="0"/>
        <v>-3284.6666666666661</v>
      </c>
      <c r="G72" s="89">
        <f>SUM(G66:G71)</f>
        <v>12814.5</v>
      </c>
    </row>
    <row r="73" spans="1:7" ht="16.5" thickTop="1" x14ac:dyDescent="0.25">
      <c r="A73" s="58" t="s">
        <v>42</v>
      </c>
      <c r="B73" s="70">
        <f>Qrtly!J11/9*7</f>
        <v>943.44444444444434</v>
      </c>
      <c r="C73" s="70">
        <f>1336</f>
        <v>1336</v>
      </c>
      <c r="D73" s="253">
        <f t="shared" si="0"/>
        <v>392.55555555555566</v>
      </c>
      <c r="G73" s="70">
        <f>1477/8*7</f>
        <v>1292.375</v>
      </c>
    </row>
    <row r="74" spans="1:7" x14ac:dyDescent="0.25">
      <c r="A74" s="58" t="s">
        <v>8</v>
      </c>
      <c r="B74" s="70">
        <f>Qrtly!I12</f>
        <v>0</v>
      </c>
      <c r="D74" s="253">
        <f t="shared" si="0"/>
        <v>0</v>
      </c>
      <c r="G74" s="70"/>
    </row>
    <row r="75" spans="1:7" x14ac:dyDescent="0.25">
      <c r="A75" s="58" t="s">
        <v>9</v>
      </c>
      <c r="B75" s="70">
        <f>Qrtly!J13/9*7</f>
        <v>291.66666666666663</v>
      </c>
      <c r="C75" s="70">
        <v>11</v>
      </c>
      <c r="D75" s="253">
        <f t="shared" si="0"/>
        <v>-280.66666666666663</v>
      </c>
      <c r="G75" s="70">
        <v>69</v>
      </c>
    </row>
    <row r="76" spans="1:7" x14ac:dyDescent="0.25">
      <c r="A76" s="58" t="s">
        <v>10</v>
      </c>
      <c r="B76" s="70">
        <f>Qrtly!I14</f>
        <v>0</v>
      </c>
      <c r="D76" s="115">
        <f t="shared" si="0"/>
        <v>0</v>
      </c>
      <c r="G76" s="70"/>
    </row>
    <row r="77" spans="1:7" x14ac:dyDescent="0.25">
      <c r="A77" s="58" t="s">
        <v>11</v>
      </c>
      <c r="B77" s="70">
        <f>Qrtly!J15/9*7</f>
        <v>1536.1111111111113</v>
      </c>
      <c r="C77" s="70">
        <f>504+908+558</f>
        <v>1970</v>
      </c>
      <c r="D77" s="115">
        <f t="shared" si="0"/>
        <v>433.88888888888869</v>
      </c>
      <c r="G77" s="70">
        <f>2094/8*7</f>
        <v>1832.25</v>
      </c>
    </row>
    <row r="78" spans="1:7" x14ac:dyDescent="0.25">
      <c r="A78" s="58" t="s">
        <v>50</v>
      </c>
      <c r="B78" s="70">
        <f>Qrtly!I16</f>
        <v>0</v>
      </c>
      <c r="D78" s="115">
        <f t="shared" si="0"/>
        <v>0</v>
      </c>
      <c r="G78" s="70"/>
    </row>
    <row r="79" spans="1:7" x14ac:dyDescent="0.25">
      <c r="A79" s="59" t="s">
        <v>48</v>
      </c>
      <c r="B79" s="70">
        <f>Qrtly!J17/9*7</f>
        <v>245</v>
      </c>
      <c r="C79" s="70">
        <f>150+100</f>
        <v>250</v>
      </c>
      <c r="D79" s="253">
        <f t="shared" si="0"/>
        <v>5</v>
      </c>
      <c r="G79" s="70">
        <v>250</v>
      </c>
    </row>
    <row r="80" spans="1:7" ht="16.5" thickBot="1" x14ac:dyDescent="0.3">
      <c r="A80" s="60" t="s">
        <v>12</v>
      </c>
      <c r="B80" s="89">
        <f t="shared" ref="B80:C80" si="1">SUM(B73:B79)</f>
        <v>3016.2222222222222</v>
      </c>
      <c r="C80" s="89">
        <f t="shared" si="1"/>
        <v>3567</v>
      </c>
      <c r="D80" s="254">
        <f t="shared" si="0"/>
        <v>550.77777777777783</v>
      </c>
      <c r="G80" s="89">
        <f t="shared" ref="G80" si="2">SUM(G73:G79)</f>
        <v>3443.625</v>
      </c>
    </row>
    <row r="81" spans="1:7" ht="16.5" thickTop="1" x14ac:dyDescent="0.25">
      <c r="A81" s="58" t="s">
        <v>13</v>
      </c>
      <c r="B81" s="70">
        <f>Qrtly!J19/9*7</f>
        <v>991.66666666666663</v>
      </c>
      <c r="C81" s="70">
        <v>271</v>
      </c>
      <c r="D81" s="253">
        <f t="shared" si="0"/>
        <v>-720.66666666666663</v>
      </c>
      <c r="G81" s="70">
        <f>510/8*7</f>
        <v>446.25</v>
      </c>
    </row>
    <row r="82" spans="1:7" x14ac:dyDescent="0.25">
      <c r="A82" s="58" t="s">
        <v>17</v>
      </c>
      <c r="B82" s="70">
        <f>Qrtly!J20/9*7</f>
        <v>350</v>
      </c>
      <c r="C82" s="70">
        <v>645</v>
      </c>
      <c r="D82" s="115">
        <f t="shared" si="0"/>
        <v>295</v>
      </c>
      <c r="E82" t="s">
        <v>192</v>
      </c>
      <c r="G82" s="70">
        <f>421/8*7</f>
        <v>368.375</v>
      </c>
    </row>
    <row r="83" spans="1:7" x14ac:dyDescent="0.25">
      <c r="A83" s="58" t="s">
        <v>33</v>
      </c>
      <c r="B83" s="70">
        <f>Qrtly!J21/9*7</f>
        <v>583.33333333333326</v>
      </c>
      <c r="C83" s="70">
        <v>291</v>
      </c>
      <c r="D83" s="253">
        <f t="shared" si="0"/>
        <v>-292.33333333333326</v>
      </c>
      <c r="G83" s="70">
        <v>3</v>
      </c>
    </row>
    <row r="84" spans="1:7" x14ac:dyDescent="0.25">
      <c r="A84" s="58" t="s">
        <v>14</v>
      </c>
      <c r="B84" s="70">
        <f>Qrtly!J22/9*7</f>
        <v>40215</v>
      </c>
      <c r="C84" s="70">
        <v>39930</v>
      </c>
      <c r="D84" s="253">
        <f t="shared" si="0"/>
        <v>-285</v>
      </c>
      <c r="G84" s="70">
        <f>51720/8*7</f>
        <v>45255</v>
      </c>
    </row>
    <row r="85" spans="1:7" x14ac:dyDescent="0.25">
      <c r="A85" s="63" t="s">
        <v>35</v>
      </c>
      <c r="B85" s="71">
        <f>Qrtly!I23</f>
        <v>0</v>
      </c>
      <c r="C85" s="71"/>
      <c r="D85" s="255">
        <f t="shared" si="0"/>
        <v>0</v>
      </c>
      <c r="G85" s="71">
        <v>118</v>
      </c>
    </row>
    <row r="86" spans="1:7" x14ac:dyDescent="0.25">
      <c r="A86" s="58" t="s">
        <v>36</v>
      </c>
      <c r="B86" s="71">
        <f>Qrtly!J24/9*7</f>
        <v>102.08333333333334</v>
      </c>
      <c r="C86" s="71">
        <f>110+7</f>
        <v>117</v>
      </c>
      <c r="D86" s="255">
        <f t="shared" si="0"/>
        <v>14.916666666666657</v>
      </c>
      <c r="G86" s="71">
        <v>49</v>
      </c>
    </row>
    <row r="87" spans="1:7" x14ac:dyDescent="0.25">
      <c r="A87" s="58" t="s">
        <v>16</v>
      </c>
      <c r="B87" s="71">
        <f>Qrtly!I25</f>
        <v>0</v>
      </c>
      <c r="C87" s="71"/>
      <c r="D87" s="116">
        <f t="shared" si="0"/>
        <v>0</v>
      </c>
      <c r="G87" s="71"/>
    </row>
    <row r="88" spans="1:7" x14ac:dyDescent="0.25">
      <c r="A88" s="246"/>
      <c r="B88" s="109"/>
      <c r="C88" s="71"/>
      <c r="D88" s="116">
        <f t="shared" si="0"/>
        <v>0</v>
      </c>
      <c r="G88" s="71"/>
    </row>
    <row r="89" spans="1:7" ht="18.75" thickBot="1" x14ac:dyDescent="0.3">
      <c r="A89" s="67" t="s">
        <v>18</v>
      </c>
      <c r="B89" s="51">
        <f>SUM(B81:B88)+B72+B80</f>
        <v>56591.972222222219</v>
      </c>
      <c r="C89" s="51">
        <f>SUM(C81:C88)+C72+C80</f>
        <v>52870</v>
      </c>
      <c r="D89" s="117">
        <f t="shared" si="0"/>
        <v>-3721.972222222219</v>
      </c>
      <c r="G89" s="51">
        <f>SUM(G81:G88)+G72+G80</f>
        <v>62497.75</v>
      </c>
    </row>
    <row r="90" spans="1:7" ht="16.5" thickTop="1" x14ac:dyDescent="0.25">
      <c r="A90" s="68"/>
      <c r="B90" s="71"/>
      <c r="C90" s="71"/>
      <c r="D90" s="116">
        <f t="shared" si="0"/>
        <v>0</v>
      </c>
      <c r="G90" s="71"/>
    </row>
    <row r="91" spans="1:7" x14ac:dyDescent="0.25">
      <c r="A91" s="69" t="s">
        <v>20</v>
      </c>
      <c r="B91" s="91" t="s">
        <v>59</v>
      </c>
      <c r="C91" s="91" t="s">
        <v>60</v>
      </c>
      <c r="D91" s="118" t="s">
        <v>61</v>
      </c>
      <c r="E91" s="91" t="s">
        <v>63</v>
      </c>
      <c r="G91" s="91" t="s">
        <v>60</v>
      </c>
    </row>
    <row r="92" spans="1:7" x14ac:dyDescent="0.25">
      <c r="A92" s="70" t="s">
        <v>21</v>
      </c>
      <c r="B92" s="71">
        <f>Qrtly!J33/9*7</f>
        <v>33250</v>
      </c>
      <c r="C92" s="71">
        <v>38668</v>
      </c>
      <c r="D92" s="249">
        <f t="shared" si="0"/>
        <v>5418</v>
      </c>
      <c r="G92" s="71">
        <f>39517/8*7</f>
        <v>34577.375</v>
      </c>
    </row>
    <row r="93" spans="1:7" x14ac:dyDescent="0.25">
      <c r="A93" s="70" t="s">
        <v>22</v>
      </c>
      <c r="B93" s="71">
        <f>Qrtly!J34/9*7</f>
        <v>680.55555555555566</v>
      </c>
      <c r="C93" s="71">
        <f>285+120</f>
        <v>405</v>
      </c>
      <c r="D93" s="249">
        <f t="shared" si="0"/>
        <v>-275.55555555555566</v>
      </c>
      <c r="G93" s="71">
        <f>1440/8*7</f>
        <v>1260</v>
      </c>
    </row>
    <row r="94" spans="1:7" x14ac:dyDescent="0.25">
      <c r="A94" s="70" t="str">
        <f>'Q1'!A92</f>
        <v>Gift Day</v>
      </c>
      <c r="B94" s="71"/>
      <c r="C94" s="71"/>
      <c r="D94" s="120"/>
      <c r="G94" s="71">
        <v>4310</v>
      </c>
    </row>
    <row r="95" spans="1:7" x14ac:dyDescent="0.25">
      <c r="A95" s="71" t="s">
        <v>27</v>
      </c>
      <c r="B95" s="71">
        <f>Qrtly!J35/9*7</f>
        <v>7583.333333333333</v>
      </c>
      <c r="C95" s="71">
        <v>5812</v>
      </c>
      <c r="D95" s="120">
        <f t="shared" si="0"/>
        <v>-1771.333333333333</v>
      </c>
      <c r="E95" t="s">
        <v>200</v>
      </c>
      <c r="G95" s="71">
        <f>7716/8*7</f>
        <v>6751.5</v>
      </c>
    </row>
    <row r="96" spans="1:7" x14ac:dyDescent="0.25">
      <c r="A96" s="72" t="s">
        <v>23</v>
      </c>
      <c r="B96" s="54">
        <f>SUM(B92:B95)</f>
        <v>41513.888888888891</v>
      </c>
      <c r="C96" s="54">
        <f>SUM(C92:C95)</f>
        <v>44885</v>
      </c>
      <c r="D96" s="250">
        <f t="shared" si="0"/>
        <v>3371.1111111111095</v>
      </c>
      <c r="G96" s="54">
        <f>SUM(G92:G95)</f>
        <v>46898.875</v>
      </c>
    </row>
    <row r="97" spans="1:7" x14ac:dyDescent="0.25">
      <c r="A97" s="70" t="s">
        <v>24</v>
      </c>
      <c r="B97" s="71">
        <f>Qrtly!J38/9*7</f>
        <v>466.66666666666669</v>
      </c>
      <c r="C97" s="71">
        <v>2</v>
      </c>
      <c r="D97" s="249">
        <f t="shared" si="0"/>
        <v>-464.66666666666669</v>
      </c>
      <c r="G97" s="71">
        <v>446</v>
      </c>
    </row>
    <row r="98" spans="1:7" x14ac:dyDescent="0.25">
      <c r="A98" s="70" t="s">
        <v>25</v>
      </c>
      <c r="B98" s="71">
        <f>Qrtly!J39/9*7</f>
        <v>7661.1111111111104</v>
      </c>
      <c r="C98" s="71">
        <v>8891</v>
      </c>
      <c r="D98" s="249">
        <f t="shared" si="0"/>
        <v>1229.8888888888896</v>
      </c>
      <c r="G98" s="71">
        <f>19631/8*7</f>
        <v>17177.125</v>
      </c>
    </row>
    <row r="99" spans="1:7" x14ac:dyDescent="0.25">
      <c r="A99" s="70" t="s">
        <v>26</v>
      </c>
      <c r="B99" s="71">
        <f>Qrtly!J40/9*7</f>
        <v>291.66666666666663</v>
      </c>
      <c r="C99" s="71">
        <v>56</v>
      </c>
      <c r="D99" s="249">
        <f t="shared" si="0"/>
        <v>-235.66666666666663</v>
      </c>
      <c r="G99" s="71">
        <f>564/8*7</f>
        <v>493.5</v>
      </c>
    </row>
    <row r="100" spans="1:7" x14ac:dyDescent="0.25">
      <c r="A100" s="70" t="s">
        <v>34</v>
      </c>
      <c r="B100" s="71">
        <f>Qrtly!J41/9*7</f>
        <v>116.66666666666667</v>
      </c>
      <c r="C100" s="71">
        <f>84+22+3</f>
        <v>109</v>
      </c>
      <c r="D100" s="249">
        <f t="shared" si="0"/>
        <v>-7.6666666666666714</v>
      </c>
      <c r="G100" s="71">
        <f>333/8*7</f>
        <v>291.375</v>
      </c>
    </row>
    <row r="101" spans="1:7" x14ac:dyDescent="0.25">
      <c r="A101" s="70" t="s">
        <v>28</v>
      </c>
      <c r="B101" s="71">
        <f>Qrtly!I42</f>
        <v>0</v>
      </c>
      <c r="C101" s="71"/>
      <c r="D101" s="249">
        <f t="shared" si="0"/>
        <v>0</v>
      </c>
      <c r="G101" s="71"/>
    </row>
    <row r="102" spans="1:7" ht="16.5" thickBot="1" x14ac:dyDescent="0.3">
      <c r="A102" s="73" t="s">
        <v>29</v>
      </c>
      <c r="B102" s="46">
        <f t="shared" ref="B102:C102" si="3">SUM(B97:B101)+B96</f>
        <v>50050</v>
      </c>
      <c r="C102" s="46">
        <f t="shared" si="3"/>
        <v>53943</v>
      </c>
      <c r="D102" s="251">
        <f t="shared" si="0"/>
        <v>3893</v>
      </c>
      <c r="G102" s="46">
        <f t="shared" ref="G102" si="4">SUM(G97:G101)+G96</f>
        <v>65306.875</v>
      </c>
    </row>
    <row r="103" spans="1:7" ht="16.5" thickTop="1" x14ac:dyDescent="0.25">
      <c r="A103" s="58" t="s">
        <v>51</v>
      </c>
      <c r="B103" s="71">
        <f>Qrtly!I44</f>
        <v>0</v>
      </c>
      <c r="C103" s="71"/>
      <c r="D103" s="120">
        <f t="shared" si="0"/>
        <v>0</v>
      </c>
      <c r="G103" s="71"/>
    </row>
    <row r="104" spans="1:7" ht="16.5" thickBot="1" x14ac:dyDescent="0.3">
      <c r="A104" s="58" t="s">
        <v>38</v>
      </c>
      <c r="B104" s="71">
        <f>Qrtly!I45</f>
        <v>0</v>
      </c>
      <c r="C104" s="71"/>
      <c r="D104" s="120">
        <f t="shared" si="0"/>
        <v>0</v>
      </c>
      <c r="G104" s="71"/>
    </row>
    <row r="105" spans="1:7" ht="17.25" thickTop="1" thickBot="1" x14ac:dyDescent="0.3">
      <c r="A105" s="74" t="s">
        <v>49</v>
      </c>
      <c r="B105" s="47">
        <f>B102-B89+B103+B104</f>
        <v>-6541.972222222219</v>
      </c>
      <c r="C105" s="47">
        <f>C102-C89+C103+C104</f>
        <v>1073</v>
      </c>
      <c r="D105" s="252">
        <f t="shared" si="0"/>
        <v>7614.972222222219</v>
      </c>
      <c r="G105" s="47">
        <f>G102-G89+G103+G104</f>
        <v>2809.125</v>
      </c>
    </row>
    <row r="106" spans="1:7" ht="17.25" thickTop="1" thickBot="1" x14ac:dyDescent="0.3">
      <c r="B106" s="71"/>
      <c r="C106" s="71"/>
      <c r="D106" s="120">
        <f t="shared" si="0"/>
        <v>0</v>
      </c>
      <c r="G106" s="71"/>
    </row>
    <row r="107" spans="1:7" x14ac:dyDescent="0.25">
      <c r="A107" s="75" t="s">
        <v>30</v>
      </c>
      <c r="B107" s="92"/>
      <c r="C107" s="92"/>
      <c r="D107" s="121">
        <f t="shared" si="0"/>
        <v>0</v>
      </c>
      <c r="G107" s="92"/>
    </row>
    <row r="108" spans="1:7" ht="16.5" thickBot="1" x14ac:dyDescent="0.3">
      <c r="A108" s="76" t="s">
        <v>31</v>
      </c>
      <c r="B108" s="71">
        <f>'Q1'!B106</f>
        <v>14097</v>
      </c>
      <c r="C108" s="71">
        <f>B108</f>
        <v>14097</v>
      </c>
      <c r="D108" s="120">
        <f t="shared" si="0"/>
        <v>0</v>
      </c>
      <c r="G108" s="71">
        <v>16514</v>
      </c>
    </row>
    <row r="109" spans="1:7" ht="19.5" thickTop="1" thickBot="1" x14ac:dyDescent="0.3">
      <c r="A109" s="77" t="s">
        <v>70</v>
      </c>
      <c r="B109" s="52">
        <f t="shared" ref="B109:C109" si="5">SUM(B105:B108)</f>
        <v>7555.027777777781</v>
      </c>
      <c r="C109" s="52">
        <f t="shared" si="5"/>
        <v>15170</v>
      </c>
      <c r="D109" s="122">
        <f t="shared" si="0"/>
        <v>7614.972222222219</v>
      </c>
      <c r="G109" s="52">
        <f t="shared" ref="G109" si="6">SUM(G105:G108)</f>
        <v>19323.125</v>
      </c>
    </row>
    <row r="110" spans="1:7" thickBot="1" x14ac:dyDescent="0.3">
      <c r="A110"/>
      <c r="B110"/>
      <c r="C110"/>
      <c r="D110" s="119"/>
    </row>
    <row r="111" spans="1:7" x14ac:dyDescent="0.25">
      <c r="A111" s="78" t="s">
        <v>43</v>
      </c>
      <c r="B111" s="108">
        <f>Qrtly!J53/9*7</f>
        <v>9566.6666666666679</v>
      </c>
      <c r="C111" s="108">
        <f>6770+935+635+960+105</f>
        <v>9405</v>
      </c>
      <c r="D111" s="288">
        <f t="shared" si="0"/>
        <v>-161.66666666666788</v>
      </c>
      <c r="F111" s="113"/>
      <c r="G111" s="108">
        <f>10384/8*7</f>
        <v>9086</v>
      </c>
    </row>
    <row r="112" spans="1:7" x14ac:dyDescent="0.25">
      <c r="A112" s="79" t="s">
        <v>44</v>
      </c>
      <c r="B112" s="109">
        <f>Qrtly!J54/9*7</f>
        <v>1458.3333333333335</v>
      </c>
      <c r="C112" s="109">
        <f>124+67</f>
        <v>191</v>
      </c>
      <c r="D112" s="290">
        <f t="shared" si="0"/>
        <v>-1267.3333333333335</v>
      </c>
      <c r="G112" s="109">
        <v>488</v>
      </c>
    </row>
    <row r="113" spans="1:7" x14ac:dyDescent="0.25">
      <c r="A113" s="80" t="s">
        <v>45</v>
      </c>
      <c r="B113" s="71">
        <f>Qrtly!I55</f>
        <v>47316</v>
      </c>
      <c r="C113" s="71">
        <f>B113</f>
        <v>47316</v>
      </c>
      <c r="D113" s="255">
        <f>D111+D112</f>
        <v>-1429.0000000000014</v>
      </c>
      <c r="E113" s="112"/>
      <c r="G113" s="71">
        <v>64378</v>
      </c>
    </row>
    <row r="114" spans="1:7" x14ac:dyDescent="0.25">
      <c r="A114" s="79" t="s">
        <v>20</v>
      </c>
      <c r="B114" s="71">
        <f>Qrtly!J56/9*7</f>
        <v>233.33333333333334</v>
      </c>
      <c r="C114" s="71">
        <v>0</v>
      </c>
      <c r="D114" s="257">
        <f t="shared" si="0"/>
        <v>-233.33333333333334</v>
      </c>
      <c r="G114" s="71">
        <v>21</v>
      </c>
    </row>
    <row r="115" spans="1:7" x14ac:dyDescent="0.25">
      <c r="A115" s="81" t="s">
        <v>47</v>
      </c>
      <c r="B115" s="99">
        <v>0</v>
      </c>
      <c r="C115" s="99">
        <v>0</v>
      </c>
      <c r="D115" s="256">
        <f t="shared" si="0"/>
        <v>0</v>
      </c>
      <c r="G115" s="99">
        <v>0</v>
      </c>
    </row>
    <row r="116" spans="1:7" ht="16.5" thickBot="1" x14ac:dyDescent="0.3">
      <c r="A116" s="82" t="s">
        <v>46</v>
      </c>
      <c r="B116" s="50">
        <f t="shared" ref="B116" si="7">B113-B111-B112+B114+B115</f>
        <v>36524.333333333328</v>
      </c>
      <c r="C116" s="50">
        <f>C113-C111-C112+C114+C115</f>
        <v>37720</v>
      </c>
      <c r="D116" s="289">
        <f t="shared" si="0"/>
        <v>1195.6666666666715</v>
      </c>
      <c r="G116" s="50">
        <f>G113-G111-G112+G114+G115</f>
        <v>54825</v>
      </c>
    </row>
    <row r="117" spans="1:7" x14ac:dyDescent="0.25">
      <c r="E117" s="248"/>
    </row>
    <row r="118" spans="1:7" x14ac:dyDescent="0.25">
      <c r="C118"/>
      <c r="D118" s="132"/>
    </row>
    <row r="119" spans="1:7" x14ac:dyDescent="0.25">
      <c r="A119" s="110"/>
      <c r="D119" s="129"/>
      <c r="G119" s="200"/>
    </row>
    <row r="120" spans="1:7" x14ac:dyDescent="0.25">
      <c r="D120" s="129"/>
      <c r="G120" s="70"/>
    </row>
    <row r="121" spans="1:7" x14ac:dyDescent="0.25">
      <c r="D121" s="129"/>
      <c r="G121" s="70"/>
    </row>
    <row r="122" spans="1:7" x14ac:dyDescent="0.25">
      <c r="D122" s="129"/>
    </row>
    <row r="123" spans="1:7" x14ac:dyDescent="0.25">
      <c r="D123" s="245"/>
    </row>
  </sheetData>
  <mergeCells count="1">
    <mergeCell ref="B64:E64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"/>
  <sheetViews>
    <sheetView topLeftCell="A13" workbookViewId="0">
      <selection activeCell="A27" sqref="A27"/>
    </sheetView>
  </sheetViews>
  <sheetFormatPr defaultRowHeight="15.75" x14ac:dyDescent="0.25"/>
  <cols>
    <col min="1" max="1" width="31.5703125" style="70" customWidth="1"/>
    <col min="2" max="3" width="16.42578125" style="70" customWidth="1"/>
    <col min="4" max="4" width="16.42578125" style="186" customWidth="1"/>
    <col min="5" max="5" width="9" customWidth="1"/>
    <col min="6" max="6" width="2.28515625" customWidth="1"/>
    <col min="7" max="7" width="13.7109375" customWidth="1"/>
  </cols>
  <sheetData>
    <row r="1" spans="1:7" x14ac:dyDescent="0.25">
      <c r="A1" s="110" t="s">
        <v>126</v>
      </c>
    </row>
    <row r="2" spans="1:7" x14ac:dyDescent="0.25">
      <c r="A2" s="110" t="s">
        <v>127</v>
      </c>
      <c r="B2" s="110" t="s">
        <v>173</v>
      </c>
    </row>
    <row r="4" spans="1:7" x14ac:dyDescent="0.25">
      <c r="B4" s="222" t="s">
        <v>60</v>
      </c>
      <c r="C4" s="280" t="s">
        <v>59</v>
      </c>
      <c r="D4" s="223" t="s">
        <v>128</v>
      </c>
      <c r="G4" s="225" t="s">
        <v>179</v>
      </c>
    </row>
    <row r="5" spans="1:7" x14ac:dyDescent="0.25">
      <c r="B5" s="222" t="s">
        <v>130</v>
      </c>
      <c r="C5" s="280" t="s">
        <v>130</v>
      </c>
      <c r="D5" s="222" t="s">
        <v>130</v>
      </c>
      <c r="G5" s="222" t="s">
        <v>130</v>
      </c>
    </row>
    <row r="6" spans="1:7" x14ac:dyDescent="0.25">
      <c r="A6" s="110" t="s">
        <v>114</v>
      </c>
      <c r="C6" s="281"/>
    </row>
    <row r="7" spans="1:7" x14ac:dyDescent="0.25">
      <c r="C7" s="281"/>
    </row>
    <row r="8" spans="1:7" x14ac:dyDescent="0.25">
      <c r="A8" s="70" t="s">
        <v>29</v>
      </c>
      <c r="B8" s="70">
        <f>C100</f>
        <v>27997</v>
      </c>
      <c r="C8" s="281">
        <f>B100</f>
        <v>25600</v>
      </c>
      <c r="D8" s="240">
        <f>B8-C8</f>
        <v>2397</v>
      </c>
      <c r="G8" s="226">
        <v>29203</v>
      </c>
    </row>
    <row r="9" spans="1:7" x14ac:dyDescent="0.25">
      <c r="C9" s="281"/>
      <c r="G9" s="224"/>
    </row>
    <row r="10" spans="1:7" x14ac:dyDescent="0.25">
      <c r="A10" s="70" t="s">
        <v>18</v>
      </c>
      <c r="B10" s="109">
        <f>C88</f>
        <v>26808</v>
      </c>
      <c r="C10" s="282">
        <f>B88</f>
        <v>27189</v>
      </c>
      <c r="D10" s="189">
        <f>C10-B10</f>
        <v>381</v>
      </c>
      <c r="G10" s="227">
        <v>28906</v>
      </c>
    </row>
    <row r="11" spans="1:7" x14ac:dyDescent="0.25">
      <c r="C11" s="281"/>
      <c r="G11" s="186"/>
    </row>
    <row r="12" spans="1:7" ht="16.5" thickBot="1" x14ac:dyDescent="0.3">
      <c r="A12" s="70" t="s">
        <v>129</v>
      </c>
      <c r="B12" s="237">
        <f>B8-B10</f>
        <v>1189</v>
      </c>
      <c r="C12" s="283">
        <f>C8-C10</f>
        <v>-1589</v>
      </c>
      <c r="D12" s="242">
        <f>B12-C12</f>
        <v>2778</v>
      </c>
      <c r="G12" s="232">
        <f>G8-G10</f>
        <v>297</v>
      </c>
    </row>
    <row r="13" spans="1:7" ht="16.5" thickTop="1" x14ac:dyDescent="0.25">
      <c r="C13" s="281"/>
    </row>
    <row r="14" spans="1:7" x14ac:dyDescent="0.25">
      <c r="A14" s="110" t="s">
        <v>132</v>
      </c>
      <c r="C14" s="281"/>
    </row>
    <row r="15" spans="1:7" x14ac:dyDescent="0.25">
      <c r="C15" s="281"/>
    </row>
    <row r="16" spans="1:7" x14ac:dyDescent="0.25">
      <c r="A16" s="70" t="s">
        <v>29</v>
      </c>
      <c r="B16" s="70">
        <f>C112</f>
        <v>0</v>
      </c>
      <c r="C16" s="281">
        <f>B112</f>
        <v>100</v>
      </c>
      <c r="D16" s="240">
        <f>B16-C16</f>
        <v>-100</v>
      </c>
      <c r="G16" s="226">
        <f>G108</f>
        <v>0</v>
      </c>
    </row>
    <row r="17" spans="1:7" x14ac:dyDescent="0.25">
      <c r="C17" s="281"/>
      <c r="G17" s="224"/>
    </row>
    <row r="18" spans="1:7" x14ac:dyDescent="0.25">
      <c r="A18" s="70" t="s">
        <v>18</v>
      </c>
      <c r="B18" s="109">
        <f>C109+C110</f>
        <v>4398</v>
      </c>
      <c r="C18" s="282">
        <f>B109+B110</f>
        <v>4725</v>
      </c>
      <c r="D18" s="241">
        <f>C18-B18</f>
        <v>327</v>
      </c>
      <c r="G18" s="227">
        <v>4476</v>
      </c>
    </row>
    <row r="19" spans="1:7" x14ac:dyDescent="0.25">
      <c r="C19" s="281"/>
      <c r="G19" s="186"/>
    </row>
    <row r="20" spans="1:7" ht="16.5" thickBot="1" x14ac:dyDescent="0.3">
      <c r="A20" s="70" t="s">
        <v>129</v>
      </c>
      <c r="B20" s="237">
        <f>B16-B18</f>
        <v>-4398</v>
      </c>
      <c r="C20" s="283">
        <f>C16-C18</f>
        <v>-4625</v>
      </c>
      <c r="D20" s="233">
        <f>B20-C20</f>
        <v>227</v>
      </c>
      <c r="G20" s="237">
        <f>G16-G18</f>
        <v>-4476</v>
      </c>
    </row>
    <row r="21" spans="1:7" ht="16.5" thickTop="1" x14ac:dyDescent="0.25"/>
    <row r="22" spans="1:7" x14ac:dyDescent="0.25">
      <c r="A22" s="110" t="s">
        <v>138</v>
      </c>
    </row>
    <row r="23" spans="1:7" x14ac:dyDescent="0.25">
      <c r="A23" s="70" t="s">
        <v>182</v>
      </c>
    </row>
    <row r="24" spans="1:7" x14ac:dyDescent="0.25">
      <c r="A24" s="70" t="s">
        <v>183</v>
      </c>
    </row>
    <row r="25" spans="1:7" x14ac:dyDescent="0.25">
      <c r="A25" s="70" t="s">
        <v>184</v>
      </c>
    </row>
    <row r="27" spans="1:7" x14ac:dyDescent="0.25">
      <c r="A27" s="70" t="s">
        <v>187</v>
      </c>
    </row>
    <row r="28" spans="1:7" x14ac:dyDescent="0.25">
      <c r="A28" s="70" t="s">
        <v>186</v>
      </c>
    </row>
    <row r="29" spans="1:7" x14ac:dyDescent="0.25">
      <c r="A29" s="70" t="s">
        <v>185</v>
      </c>
    </row>
    <row r="32" spans="1:7" x14ac:dyDescent="0.25">
      <c r="G32" s="225" t="s">
        <v>176</v>
      </c>
    </row>
    <row r="33" spans="1:7" x14ac:dyDescent="0.25">
      <c r="A33" s="110" t="s">
        <v>133</v>
      </c>
    </row>
    <row r="34" spans="1:7" x14ac:dyDescent="0.25">
      <c r="A34" s="70" t="s">
        <v>134</v>
      </c>
      <c r="B34" s="70">
        <v>41376</v>
      </c>
      <c r="G34" s="234">
        <v>41376</v>
      </c>
    </row>
    <row r="35" spans="1:7" x14ac:dyDescent="0.25">
      <c r="A35" s="70" t="s">
        <v>135</v>
      </c>
      <c r="B35" s="109">
        <f>C114-B34</f>
        <v>1542</v>
      </c>
      <c r="G35" s="238">
        <v>5940</v>
      </c>
    </row>
    <row r="36" spans="1:7" x14ac:dyDescent="0.25">
      <c r="B36" s="70">
        <f>B34+B35</f>
        <v>42918</v>
      </c>
      <c r="G36" s="235">
        <f>G34+G35</f>
        <v>47316</v>
      </c>
    </row>
    <row r="37" spans="1:7" x14ac:dyDescent="0.25">
      <c r="A37" s="70" t="s">
        <v>114</v>
      </c>
      <c r="B37" s="70">
        <f>C107</f>
        <v>15286</v>
      </c>
      <c r="G37" s="234">
        <v>14097</v>
      </c>
    </row>
    <row r="38" spans="1:7" x14ac:dyDescent="0.25">
      <c r="A38" s="70" t="s">
        <v>74</v>
      </c>
      <c r="B38" s="109">
        <f>1505+166+282+11+926+2639+242+1362+981+32</f>
        <v>8146</v>
      </c>
      <c r="G38" s="234">
        <f>5653+1362</f>
        <v>7015</v>
      </c>
    </row>
    <row r="39" spans="1:7" ht="16.5" thickBot="1" x14ac:dyDescent="0.3">
      <c r="A39" s="110" t="s">
        <v>116</v>
      </c>
      <c r="B39" s="60">
        <f>B36+B37+B38</f>
        <v>66350</v>
      </c>
      <c r="G39" s="236">
        <f>G36+G37+G38</f>
        <v>68428</v>
      </c>
    </row>
    <row r="40" spans="1:7" ht="16.5" thickTop="1" x14ac:dyDescent="0.25">
      <c r="B40"/>
      <c r="G40" s="234"/>
    </row>
    <row r="41" spans="1:7" x14ac:dyDescent="0.25">
      <c r="A41" s="110" t="s">
        <v>125</v>
      </c>
      <c r="G41" s="234"/>
    </row>
    <row r="42" spans="1:7" x14ac:dyDescent="0.25">
      <c r="A42" s="70" t="s">
        <v>65</v>
      </c>
      <c r="B42" s="70">
        <v>18445.09</v>
      </c>
      <c r="G42" s="234">
        <v>20730</v>
      </c>
    </row>
    <row r="43" spans="1:7" x14ac:dyDescent="0.25">
      <c r="A43" s="70" t="s">
        <v>66</v>
      </c>
      <c r="B43" s="109">
        <v>50845.13</v>
      </c>
      <c r="G43" s="238">
        <v>50760</v>
      </c>
    </row>
    <row r="44" spans="1:7" x14ac:dyDescent="0.25">
      <c r="B44" s="70">
        <f>B42+B43</f>
        <v>69290.22</v>
      </c>
      <c r="G44" s="243">
        <f>G42+G43</f>
        <v>71490</v>
      </c>
    </row>
    <row r="45" spans="1:7" x14ac:dyDescent="0.25">
      <c r="A45" s="70" t="s">
        <v>175</v>
      </c>
      <c r="B45" s="57">
        <v>-4585.6000000000004</v>
      </c>
      <c r="C45" s="70" t="s">
        <v>180</v>
      </c>
      <c r="G45" s="244">
        <v>-6423</v>
      </c>
    </row>
    <row r="46" spans="1:7" x14ac:dyDescent="0.25">
      <c r="A46" s="70" t="s">
        <v>139</v>
      </c>
      <c r="B46" s="70">
        <v>39</v>
      </c>
      <c r="G46" s="234">
        <f>1720+36-1</f>
        <v>1755</v>
      </c>
    </row>
    <row r="47" spans="1:7" x14ac:dyDescent="0.25">
      <c r="A47" s="70" t="s">
        <v>115</v>
      </c>
      <c r="B47" s="70">
        <f>1363.8+100.3+141.99</f>
        <v>1606.09</v>
      </c>
      <c r="C47" s="2"/>
      <c r="G47" s="234">
        <v>1606</v>
      </c>
    </row>
    <row r="48" spans="1:7" ht="16.5" thickBot="1" x14ac:dyDescent="0.3">
      <c r="B48" s="236">
        <f>SUM(B44:B47)</f>
        <v>66349.710000000006</v>
      </c>
      <c r="G48" s="236">
        <f>SUM(G44:G47)</f>
        <v>68428</v>
      </c>
    </row>
    <row r="49" spans="1:7" ht="16.5" thickTop="1" x14ac:dyDescent="0.25">
      <c r="B49" s="239"/>
      <c r="G49" s="239"/>
    </row>
    <row r="50" spans="1:7" x14ac:dyDescent="0.25">
      <c r="B50" s="239"/>
      <c r="G50" s="239"/>
    </row>
    <row r="51" spans="1:7" x14ac:dyDescent="0.25">
      <c r="B51" s="239"/>
      <c r="G51" s="239"/>
    </row>
    <row r="52" spans="1:7" x14ac:dyDescent="0.25">
      <c r="B52" s="239"/>
      <c r="G52" s="239"/>
    </row>
    <row r="53" spans="1:7" x14ac:dyDescent="0.25">
      <c r="B53" s="239"/>
      <c r="G53" s="239"/>
    </row>
    <row r="54" spans="1:7" x14ac:dyDescent="0.25">
      <c r="B54" s="239"/>
      <c r="G54" s="239"/>
    </row>
    <row r="55" spans="1:7" x14ac:dyDescent="0.25">
      <c r="B55" s="239"/>
      <c r="G55" s="239"/>
    </row>
    <row r="56" spans="1:7" x14ac:dyDescent="0.25">
      <c r="B56" s="239"/>
      <c r="G56" s="239"/>
    </row>
    <row r="57" spans="1:7" x14ac:dyDescent="0.25">
      <c r="B57" s="239"/>
      <c r="G57" s="239"/>
    </row>
    <row r="58" spans="1:7" x14ac:dyDescent="0.25">
      <c r="B58" s="239"/>
      <c r="G58" s="239"/>
    </row>
    <row r="63" spans="1:7" ht="15.6" customHeight="1" x14ac:dyDescent="0.25">
      <c r="A63" s="110" t="s">
        <v>136</v>
      </c>
      <c r="B63" s="291" t="s">
        <v>174</v>
      </c>
      <c r="C63" s="292"/>
      <c r="D63" s="292"/>
      <c r="E63" s="293"/>
      <c r="G63" s="111">
        <v>2019</v>
      </c>
    </row>
    <row r="64" spans="1:7" ht="30.75" x14ac:dyDescent="0.25">
      <c r="A64" s="100" t="s">
        <v>19</v>
      </c>
      <c r="B64" s="107" t="s">
        <v>59</v>
      </c>
      <c r="C64" s="107" t="s">
        <v>60</v>
      </c>
      <c r="D64" s="185" t="s">
        <v>61</v>
      </c>
      <c r="E64" s="107" t="s">
        <v>63</v>
      </c>
      <c r="G64" s="111" t="s">
        <v>60</v>
      </c>
    </row>
    <row r="65" spans="1:7" x14ac:dyDescent="0.25">
      <c r="A65" s="58" t="s">
        <v>0</v>
      </c>
      <c r="B65" s="70">
        <f>Qrtly!C3</f>
        <v>1600</v>
      </c>
      <c r="C65" s="70">
        <v>1686</v>
      </c>
      <c r="D65" s="228">
        <f t="shared" ref="D65:D88" si="0">C65-B65</f>
        <v>86</v>
      </c>
      <c r="G65" s="70">
        <f>'2020'!K3</f>
        <v>1595</v>
      </c>
    </row>
    <row r="66" spans="1:7" x14ac:dyDescent="0.25">
      <c r="A66" s="58" t="s">
        <v>124</v>
      </c>
      <c r="B66" s="70">
        <f>Qrtly!C4</f>
        <v>2000</v>
      </c>
      <c r="C66" s="70">
        <f>1315+750</f>
        <v>2065</v>
      </c>
      <c r="D66" s="228">
        <f t="shared" si="0"/>
        <v>65</v>
      </c>
      <c r="G66" s="70">
        <v>2179</v>
      </c>
    </row>
    <row r="67" spans="1:7" x14ac:dyDescent="0.25">
      <c r="A67" s="58" t="s">
        <v>2</v>
      </c>
      <c r="B67" s="70">
        <f>Qrtly!C5</f>
        <v>150</v>
      </c>
      <c r="C67" s="70">
        <v>109</v>
      </c>
      <c r="D67" s="228">
        <f t="shared" si="0"/>
        <v>-41</v>
      </c>
      <c r="G67" s="70">
        <v>141</v>
      </c>
    </row>
    <row r="68" spans="1:7" x14ac:dyDescent="0.25">
      <c r="A68" s="58" t="s">
        <v>140</v>
      </c>
      <c r="B68" s="70">
        <f>Qrtly!C6+Qrtly!C28</f>
        <v>1850</v>
      </c>
      <c r="C68" s="70">
        <f>180+74</f>
        <v>254</v>
      </c>
      <c r="D68" s="228">
        <f t="shared" si="0"/>
        <v>-1596</v>
      </c>
      <c r="G68" s="70">
        <v>1960</v>
      </c>
    </row>
    <row r="69" spans="1:7" x14ac:dyDescent="0.25">
      <c r="A69" s="58" t="s">
        <v>4</v>
      </c>
      <c r="B69" s="70">
        <f>Qrtly!C7</f>
        <v>200</v>
      </c>
      <c r="C69" s="70">
        <v>125</v>
      </c>
      <c r="D69" s="228">
        <f t="shared" si="0"/>
        <v>-75</v>
      </c>
      <c r="G69" s="70">
        <v>93</v>
      </c>
    </row>
    <row r="70" spans="1:7" x14ac:dyDescent="0.25">
      <c r="A70" s="59" t="s">
        <v>6</v>
      </c>
      <c r="B70" s="70">
        <f>Qrtly!C9</f>
        <v>1238</v>
      </c>
      <c r="C70" s="70">
        <f>465+677</f>
        <v>1142</v>
      </c>
      <c r="D70" s="228">
        <f t="shared" si="0"/>
        <v>-96</v>
      </c>
      <c r="G70" s="70">
        <v>1151</v>
      </c>
    </row>
    <row r="71" spans="1:7" ht="16.5" thickBot="1" x14ac:dyDescent="0.3">
      <c r="A71" s="60" t="s">
        <v>7</v>
      </c>
      <c r="B71" s="89">
        <f>SUM(B65:B70)</f>
        <v>7038</v>
      </c>
      <c r="C71" s="89">
        <f>SUM(C65:C70)</f>
        <v>5381</v>
      </c>
      <c r="D71" s="229">
        <f t="shared" si="0"/>
        <v>-1657</v>
      </c>
      <c r="G71" s="89">
        <f>SUM(G65:G70)</f>
        <v>7119</v>
      </c>
    </row>
    <row r="72" spans="1:7" ht="16.5" thickTop="1" x14ac:dyDescent="0.25">
      <c r="A72" s="58" t="s">
        <v>42</v>
      </c>
      <c r="B72" s="70">
        <f>Qrtly!C11</f>
        <v>919</v>
      </c>
      <c r="C72" s="70">
        <f>913</f>
        <v>913</v>
      </c>
      <c r="D72" s="228">
        <f t="shared" si="0"/>
        <v>-6</v>
      </c>
      <c r="G72" s="70">
        <v>902</v>
      </c>
    </row>
    <row r="73" spans="1:7" x14ac:dyDescent="0.25">
      <c r="A73" s="58" t="s">
        <v>8</v>
      </c>
      <c r="B73" s="70">
        <f>Qrtly!C12</f>
        <v>0</v>
      </c>
      <c r="D73" s="228">
        <f t="shared" si="0"/>
        <v>0</v>
      </c>
      <c r="G73" s="70"/>
    </row>
    <row r="74" spans="1:7" x14ac:dyDescent="0.25">
      <c r="A74" s="58" t="s">
        <v>9</v>
      </c>
      <c r="B74" s="70">
        <f>Qrtly!C13</f>
        <v>125</v>
      </c>
      <c r="C74" s="70">
        <v>11</v>
      </c>
      <c r="D74" s="228">
        <f t="shared" si="0"/>
        <v>-114</v>
      </c>
      <c r="G74" s="70">
        <v>6</v>
      </c>
    </row>
    <row r="75" spans="1:7" x14ac:dyDescent="0.25">
      <c r="A75" s="58" t="s">
        <v>10</v>
      </c>
      <c r="B75" s="70">
        <f>Qrtly!C14</f>
        <v>0</v>
      </c>
      <c r="D75" s="228">
        <f t="shared" si="0"/>
        <v>0</v>
      </c>
      <c r="G75" s="70"/>
    </row>
    <row r="76" spans="1:7" x14ac:dyDescent="0.25">
      <c r="A76" s="58" t="s">
        <v>11</v>
      </c>
      <c r="B76" s="70">
        <f>Qrtly!C15</f>
        <v>825</v>
      </c>
      <c r="C76" s="70">
        <f>216+735+239</f>
        <v>1190</v>
      </c>
      <c r="D76" s="228">
        <f t="shared" si="0"/>
        <v>365</v>
      </c>
      <c r="G76" s="70">
        <v>1059</v>
      </c>
    </row>
    <row r="77" spans="1:7" x14ac:dyDescent="0.25">
      <c r="A77" s="58" t="s">
        <v>97</v>
      </c>
      <c r="B77" s="70">
        <f>Qrtly!C26</f>
        <v>28.25</v>
      </c>
      <c r="D77" s="228">
        <f t="shared" si="0"/>
        <v>-28.25</v>
      </c>
      <c r="G77" s="70"/>
    </row>
    <row r="78" spans="1:7" x14ac:dyDescent="0.25">
      <c r="A78" s="59" t="s">
        <v>48</v>
      </c>
      <c r="B78" s="70">
        <f>Qrtly!C17</f>
        <v>200</v>
      </c>
      <c r="C78" s="70">
        <f>150+50</f>
        <v>200</v>
      </c>
      <c r="D78" s="228">
        <f t="shared" si="0"/>
        <v>0</v>
      </c>
      <c r="G78" s="70">
        <v>50</v>
      </c>
    </row>
    <row r="79" spans="1:7" ht="16.5" thickBot="1" x14ac:dyDescent="0.3">
      <c r="A79" s="60" t="s">
        <v>12</v>
      </c>
      <c r="B79" s="89">
        <f t="shared" ref="B79" si="1">SUM(B72:B78)</f>
        <v>2097.25</v>
      </c>
      <c r="C79" s="89">
        <f>SUM(C72:C78)</f>
        <v>2314</v>
      </c>
      <c r="D79" s="229">
        <f t="shared" si="0"/>
        <v>216.75</v>
      </c>
      <c r="G79" s="89">
        <f>SUM(G72:G78)</f>
        <v>2017</v>
      </c>
    </row>
    <row r="80" spans="1:7" ht="16.5" thickTop="1" x14ac:dyDescent="0.25">
      <c r="A80" s="58" t="s">
        <v>13</v>
      </c>
      <c r="B80" s="70">
        <f>Qrtly!C19</f>
        <v>275</v>
      </c>
      <c r="C80" s="70">
        <f>121</f>
        <v>121</v>
      </c>
      <c r="D80" s="228">
        <f t="shared" si="0"/>
        <v>-154</v>
      </c>
      <c r="G80" s="70"/>
    </row>
    <row r="81" spans="1:7" x14ac:dyDescent="0.25">
      <c r="A81" s="58" t="s">
        <v>17</v>
      </c>
      <c r="B81" s="70">
        <f>Qrtly!C20</f>
        <v>250</v>
      </c>
      <c r="C81" s="70">
        <v>468</v>
      </c>
      <c r="D81" s="228">
        <f t="shared" si="0"/>
        <v>218</v>
      </c>
      <c r="G81" s="70">
        <v>340</v>
      </c>
    </row>
    <row r="82" spans="1:7" x14ac:dyDescent="0.25">
      <c r="A82" s="58" t="s">
        <v>33</v>
      </c>
      <c r="B82" s="70">
        <f>Qrtly!C21</f>
        <v>250</v>
      </c>
      <c r="C82" s="70">
        <v>84</v>
      </c>
      <c r="D82" s="228">
        <f t="shared" si="0"/>
        <v>-166</v>
      </c>
      <c r="G82" s="70"/>
    </row>
    <row r="83" spans="1:7" x14ac:dyDescent="0.25">
      <c r="A83" s="58" t="s">
        <v>14</v>
      </c>
      <c r="B83" s="70">
        <f>Qrtly!C22</f>
        <v>17235</v>
      </c>
      <c r="C83" s="70">
        <v>18330</v>
      </c>
      <c r="D83" s="228">
        <f t="shared" si="0"/>
        <v>1095</v>
      </c>
      <c r="G83" s="70">
        <f>'2020'!K20/4</f>
        <v>19395</v>
      </c>
    </row>
    <row r="84" spans="1:7" x14ac:dyDescent="0.25">
      <c r="A84" s="63" t="s">
        <v>35</v>
      </c>
      <c r="B84" s="71">
        <f>Qrtly!C23</f>
        <v>0</v>
      </c>
      <c r="C84" s="71"/>
      <c r="D84" s="230">
        <f t="shared" si="0"/>
        <v>0</v>
      </c>
      <c r="G84" s="71">
        <v>35</v>
      </c>
    </row>
    <row r="85" spans="1:7" x14ac:dyDescent="0.25">
      <c r="A85" s="58" t="s">
        <v>36</v>
      </c>
      <c r="B85" s="71">
        <f>Qrtly!C24</f>
        <v>43.75</v>
      </c>
      <c r="C85" s="71">
        <v>110</v>
      </c>
      <c r="D85" s="230">
        <f t="shared" si="0"/>
        <v>66.25</v>
      </c>
      <c r="G85" s="71"/>
    </row>
    <row r="86" spans="1:7" x14ac:dyDescent="0.25">
      <c r="A86" s="58" t="s">
        <v>16</v>
      </c>
      <c r="B86" s="71">
        <f>Qrtly!C25</f>
        <v>0</v>
      </c>
      <c r="C86" s="71"/>
      <c r="D86" s="230">
        <f t="shared" si="0"/>
        <v>0</v>
      </c>
      <c r="G86" s="71"/>
    </row>
    <row r="87" spans="1:7" x14ac:dyDescent="0.25">
      <c r="A87" s="64"/>
      <c r="B87" s="71"/>
      <c r="C87" s="71"/>
      <c r="D87" s="230">
        <f t="shared" si="0"/>
        <v>0</v>
      </c>
      <c r="G87" s="71"/>
    </row>
    <row r="88" spans="1:7" ht="18.75" thickBot="1" x14ac:dyDescent="0.3">
      <c r="A88" s="67" t="s">
        <v>18</v>
      </c>
      <c r="B88" s="51">
        <f>SUM(B80:B87)+B71+B79</f>
        <v>27189</v>
      </c>
      <c r="C88" s="51">
        <f>SUM(C80:C87)+C71+C79</f>
        <v>26808</v>
      </c>
      <c r="D88" s="231">
        <f t="shared" si="0"/>
        <v>-381</v>
      </c>
      <c r="G88" s="51">
        <f>SUM(G80:G87)+G71+G79</f>
        <v>28906</v>
      </c>
    </row>
    <row r="89" spans="1:7" ht="16.5" thickTop="1" x14ac:dyDescent="0.25">
      <c r="A89" s="69" t="s">
        <v>20</v>
      </c>
      <c r="B89" s="91" t="s">
        <v>59</v>
      </c>
      <c r="C89" s="91" t="s">
        <v>60</v>
      </c>
      <c r="D89" s="188" t="s">
        <v>61</v>
      </c>
      <c r="E89" s="91" t="s">
        <v>63</v>
      </c>
      <c r="G89" s="91" t="s">
        <v>60</v>
      </c>
    </row>
    <row r="90" spans="1:7" x14ac:dyDescent="0.25">
      <c r="A90" s="70" t="s">
        <v>21</v>
      </c>
      <c r="B90" s="71">
        <f>Qrtly!C33</f>
        <v>14250</v>
      </c>
      <c r="C90" s="71">
        <v>16295</v>
      </c>
      <c r="D90" s="187">
        <f t="shared" ref="D90:D107" si="2">C90-B90</f>
        <v>2045</v>
      </c>
      <c r="G90" s="71">
        <v>14349</v>
      </c>
    </row>
    <row r="91" spans="1:7" x14ac:dyDescent="0.25">
      <c r="A91" s="70" t="s">
        <v>22</v>
      </c>
      <c r="B91" s="71">
        <f>Qrtly!C34</f>
        <v>625</v>
      </c>
      <c r="C91" s="71">
        <f>285+120</f>
        <v>405</v>
      </c>
      <c r="D91" s="187">
        <f t="shared" si="2"/>
        <v>-220</v>
      </c>
      <c r="G91" s="71">
        <v>452</v>
      </c>
    </row>
    <row r="92" spans="1:7" x14ac:dyDescent="0.25">
      <c r="A92" s="70" t="s">
        <v>123</v>
      </c>
      <c r="B92" s="71"/>
      <c r="C92" s="71"/>
      <c r="D92" s="187">
        <f t="shared" si="2"/>
        <v>0</v>
      </c>
      <c r="E92" s="218"/>
      <c r="G92" s="71">
        <v>2630</v>
      </c>
    </row>
    <row r="93" spans="1:7" x14ac:dyDescent="0.25">
      <c r="A93" s="71" t="s">
        <v>27</v>
      </c>
      <c r="B93" s="71">
        <f>Qrtly!C35</f>
        <v>3250</v>
      </c>
      <c r="C93" s="71">
        <f>2800-32</f>
        <v>2768</v>
      </c>
      <c r="D93" s="187">
        <f t="shared" si="2"/>
        <v>-482</v>
      </c>
      <c r="G93" s="71">
        <v>1928</v>
      </c>
    </row>
    <row r="94" spans="1:7" x14ac:dyDescent="0.25">
      <c r="A94" s="72" t="s">
        <v>23</v>
      </c>
      <c r="B94" s="54">
        <f>SUM(B90:B93)</f>
        <v>18125</v>
      </c>
      <c r="C94" s="54">
        <f>SUM(C90:C93)</f>
        <v>19468</v>
      </c>
      <c r="D94" s="190">
        <f t="shared" si="2"/>
        <v>1343</v>
      </c>
      <c r="G94" s="54">
        <f>SUM(G90:G93)</f>
        <v>19359</v>
      </c>
    </row>
    <row r="95" spans="1:7" x14ac:dyDescent="0.25">
      <c r="A95" s="70" t="s">
        <v>24</v>
      </c>
      <c r="B95" s="71">
        <f>Qrtly!C38</f>
        <v>300</v>
      </c>
      <c r="C95" s="71">
        <v>2</v>
      </c>
      <c r="D95" s="187">
        <f t="shared" si="2"/>
        <v>-298</v>
      </c>
      <c r="G95" s="71">
        <v>472</v>
      </c>
    </row>
    <row r="96" spans="1:7" x14ac:dyDescent="0.25">
      <c r="A96" s="70" t="s">
        <v>25</v>
      </c>
      <c r="B96" s="71">
        <f>Qrtly!C39</f>
        <v>7000</v>
      </c>
      <c r="C96" s="71">
        <v>8365</v>
      </c>
      <c r="D96" s="187">
        <f t="shared" si="2"/>
        <v>1365</v>
      </c>
      <c r="G96" s="71">
        <v>9129</v>
      </c>
    </row>
    <row r="97" spans="1:7" x14ac:dyDescent="0.25">
      <c r="A97" s="70" t="s">
        <v>26</v>
      </c>
      <c r="B97" s="71">
        <f>Qrtly!C40</f>
        <v>125</v>
      </c>
      <c r="C97" s="71">
        <v>56</v>
      </c>
      <c r="D97" s="187">
        <f t="shared" si="2"/>
        <v>-69</v>
      </c>
      <c r="G97" s="71">
        <v>81</v>
      </c>
    </row>
    <row r="98" spans="1:7" x14ac:dyDescent="0.25">
      <c r="A98" s="70" t="s">
        <v>34</v>
      </c>
      <c r="B98" s="71">
        <f>Qrtly!C41</f>
        <v>50</v>
      </c>
      <c r="C98" s="71">
        <f>84+22</f>
        <v>106</v>
      </c>
      <c r="D98" s="187">
        <f t="shared" si="2"/>
        <v>56</v>
      </c>
      <c r="G98" s="71">
        <v>162</v>
      </c>
    </row>
    <row r="99" spans="1:7" x14ac:dyDescent="0.25">
      <c r="A99" s="70" t="s">
        <v>28</v>
      </c>
      <c r="B99" s="71">
        <f>Qrtly!C42</f>
        <v>0</v>
      </c>
      <c r="C99" s="71"/>
      <c r="D99" s="187">
        <f t="shared" si="2"/>
        <v>0</v>
      </c>
      <c r="G99" s="71"/>
    </row>
    <row r="100" spans="1:7" ht="16.5" thickBot="1" x14ac:dyDescent="0.3">
      <c r="A100" s="73" t="s">
        <v>29</v>
      </c>
      <c r="B100" s="46">
        <f t="shared" ref="B100" si="3">SUM(B95:B99)+B94</f>
        <v>25600</v>
      </c>
      <c r="C100" s="46">
        <f>SUM(C95:C99)+C94</f>
        <v>27997</v>
      </c>
      <c r="D100" s="191">
        <f t="shared" si="2"/>
        <v>2397</v>
      </c>
      <c r="G100" s="46">
        <f>SUM(G95:G99)+G94</f>
        <v>29203</v>
      </c>
    </row>
    <row r="101" spans="1:7" ht="16.5" thickTop="1" x14ac:dyDescent="0.25">
      <c r="A101" s="58" t="s">
        <v>131</v>
      </c>
      <c r="B101" s="71">
        <f>Qrtly!C44</f>
        <v>0</v>
      </c>
      <c r="C101" s="71"/>
      <c r="D101" s="187">
        <f t="shared" si="2"/>
        <v>0</v>
      </c>
      <c r="G101" s="71"/>
    </row>
    <row r="102" spans="1:7" ht="16.5" thickBot="1" x14ac:dyDescent="0.3">
      <c r="A102" s="58" t="s">
        <v>38</v>
      </c>
      <c r="B102" s="71">
        <f>Qrtly!C45</f>
        <v>0</v>
      </c>
      <c r="C102" s="71"/>
      <c r="D102" s="187">
        <f t="shared" si="2"/>
        <v>0</v>
      </c>
      <c r="G102" s="71"/>
    </row>
    <row r="103" spans="1:7" ht="17.25" thickTop="1" thickBot="1" x14ac:dyDescent="0.3">
      <c r="A103" s="74" t="s">
        <v>49</v>
      </c>
      <c r="B103" s="47">
        <f>B100-B88+B101+B102</f>
        <v>-1589</v>
      </c>
      <c r="C103" s="47">
        <f>C100-C88+C101+C102</f>
        <v>1189</v>
      </c>
      <c r="D103" s="192">
        <f t="shared" si="2"/>
        <v>2778</v>
      </c>
      <c r="G103" s="47">
        <f>G100-G88+G101+G102</f>
        <v>297</v>
      </c>
    </row>
    <row r="104" spans="1:7" ht="17.25" thickTop="1" thickBot="1" x14ac:dyDescent="0.3">
      <c r="B104" s="71"/>
      <c r="C104" s="71"/>
      <c r="D104" s="187">
        <f t="shared" si="2"/>
        <v>0</v>
      </c>
      <c r="G104" s="71"/>
    </row>
    <row r="105" spans="1:7" x14ac:dyDescent="0.25">
      <c r="A105" s="75" t="s">
        <v>30</v>
      </c>
      <c r="B105" s="92"/>
      <c r="C105" s="92"/>
      <c r="D105" s="193">
        <f t="shared" si="2"/>
        <v>0</v>
      </c>
      <c r="G105" s="92"/>
    </row>
    <row r="106" spans="1:7" ht="16.5" thickBot="1" x14ac:dyDescent="0.3">
      <c r="A106" s="76" t="s">
        <v>31</v>
      </c>
      <c r="B106" s="71">
        <v>14097</v>
      </c>
      <c r="C106" s="71">
        <f>B106</f>
        <v>14097</v>
      </c>
      <c r="D106" s="187">
        <f t="shared" si="2"/>
        <v>0</v>
      </c>
      <c r="G106" s="71">
        <v>16514</v>
      </c>
    </row>
    <row r="107" spans="1:7" ht="19.5" thickTop="1" thickBot="1" x14ac:dyDescent="0.3">
      <c r="A107" s="77" t="s">
        <v>32</v>
      </c>
      <c r="B107" s="52">
        <f t="shared" ref="B107" si="4">SUM(B103:B106)</f>
        <v>12508</v>
      </c>
      <c r="C107" s="52">
        <f>SUM(C103:C106)</f>
        <v>15286</v>
      </c>
      <c r="D107" s="194">
        <f t="shared" si="2"/>
        <v>2778</v>
      </c>
      <c r="G107" s="52">
        <f>SUM(G103:G106)</f>
        <v>16811</v>
      </c>
    </row>
    <row r="108" spans="1:7" thickBot="1" x14ac:dyDescent="0.3">
      <c r="A108"/>
      <c r="B108"/>
      <c r="C108"/>
      <c r="D108" s="195"/>
    </row>
    <row r="109" spans="1:7" x14ac:dyDescent="0.25">
      <c r="A109" s="78" t="s">
        <v>43</v>
      </c>
      <c r="B109" s="108">
        <f>Qrtly!C53</f>
        <v>4100</v>
      </c>
      <c r="C109" s="108">
        <f>3890+317</f>
        <v>4207</v>
      </c>
      <c r="D109" s="196">
        <f t="shared" ref="D109:D114" si="5">C109-B109</f>
        <v>107</v>
      </c>
      <c r="G109" s="108">
        <f>210+862+2667+486</f>
        <v>4225</v>
      </c>
    </row>
    <row r="110" spans="1:7" x14ac:dyDescent="0.25">
      <c r="A110" s="79" t="s">
        <v>44</v>
      </c>
      <c r="B110" s="109">
        <f>Qrtly!C54</f>
        <v>625</v>
      </c>
      <c r="C110" s="109">
        <f>124+67</f>
        <v>191</v>
      </c>
      <c r="D110" s="189">
        <f t="shared" si="5"/>
        <v>-434</v>
      </c>
      <c r="G110" s="109">
        <f>214+24</f>
        <v>238</v>
      </c>
    </row>
    <row r="111" spans="1:7" x14ac:dyDescent="0.25">
      <c r="A111" s="80" t="s">
        <v>45</v>
      </c>
      <c r="B111" s="71">
        <f>Qrtly!C55</f>
        <v>47316</v>
      </c>
      <c r="C111" s="71">
        <f>B111</f>
        <v>47316</v>
      </c>
      <c r="D111" s="187">
        <f t="shared" si="5"/>
        <v>0</v>
      </c>
      <c r="G111" s="71">
        <v>71435</v>
      </c>
    </row>
    <row r="112" spans="1:7" x14ac:dyDescent="0.25">
      <c r="A112" s="79" t="s">
        <v>20</v>
      </c>
      <c r="B112" s="71">
        <f>Qrtly!C56</f>
        <v>100</v>
      </c>
      <c r="C112" s="71"/>
      <c r="D112" s="187">
        <f t="shared" si="5"/>
        <v>-100</v>
      </c>
      <c r="G112" s="71"/>
    </row>
    <row r="113" spans="1:7" x14ac:dyDescent="0.25">
      <c r="A113" s="81" t="s">
        <v>47</v>
      </c>
      <c r="B113" s="99">
        <v>0</v>
      </c>
      <c r="C113" s="99">
        <v>0</v>
      </c>
      <c r="D113" s="197">
        <f t="shared" si="5"/>
        <v>0</v>
      </c>
      <c r="G113" s="99">
        <v>0</v>
      </c>
    </row>
    <row r="114" spans="1:7" ht="16.5" thickBot="1" x14ac:dyDescent="0.3">
      <c r="A114" s="219" t="s">
        <v>46</v>
      </c>
      <c r="B114" s="220">
        <f t="shared" ref="B114" si="6">B111-B109-B110+B112+B113</f>
        <v>42691</v>
      </c>
      <c r="C114" s="220">
        <f>C111-C109-C110+C112+C113</f>
        <v>42918</v>
      </c>
      <c r="D114" s="221">
        <f t="shared" si="5"/>
        <v>227</v>
      </c>
      <c r="G114" s="50">
        <f>G111-G109-G110+G112+G113</f>
        <v>66972</v>
      </c>
    </row>
  </sheetData>
  <mergeCells count="1">
    <mergeCell ref="B63:E63"/>
  </mergeCells>
  <pageMargins left="0.70866141732283472" right="0.70866141732283472" top="0.35433070866141736" bottom="0.35433070866141736" header="0.31496062992125984" footer="0.31496062992125984"/>
  <pageSetup paperSize="9" scale="80" orientation="portrait" r:id="rId1"/>
  <headerFoot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96"/>
  <sheetViews>
    <sheetView zoomScale="90" zoomScaleNormal="90" zoomScalePageLayoutView="80" workbookViewId="0">
      <pane xSplit="1" ySplit="2" topLeftCell="K45" activePane="bottomRight" state="frozen"/>
      <selection pane="topRight" activeCell="B1" sqref="B1"/>
      <selection pane="bottomLeft" activeCell="A3" sqref="A3"/>
      <selection pane="bottomRight" activeCell="L5" sqref="L5"/>
    </sheetView>
  </sheetViews>
  <sheetFormatPr defaultColWidth="9.140625" defaultRowHeight="15" outlineLevelCol="1" x14ac:dyDescent="0.2"/>
  <cols>
    <col min="1" max="1" width="36.140625" style="70" customWidth="1"/>
    <col min="2" max="6" width="8.7109375" style="2" hidden="1" customWidth="1" outlineLevel="1"/>
    <col min="7" max="7" width="9.85546875" style="3" hidden="1" customWidth="1" outlineLevel="1"/>
    <col min="8" max="8" width="11" style="43" hidden="1" customWidth="1" outlineLevel="1"/>
    <col min="9" max="9" width="11.5703125" style="43" hidden="1" customWidth="1" outlineLevel="1"/>
    <col min="10" max="10" width="13.140625" style="70" hidden="1" customWidth="1" outlineLevel="1"/>
    <col min="11" max="11" width="16.42578125" style="70" customWidth="1" collapsed="1"/>
    <col min="12" max="12" width="14.7109375" style="70" customWidth="1"/>
    <col min="13" max="13" width="20.28515625" style="2" customWidth="1"/>
    <col min="14" max="14" width="9.140625" style="2"/>
    <col min="15" max="15" width="9.28515625" style="2" bestFit="1" customWidth="1"/>
    <col min="16" max="16384" width="9.140625" style="2"/>
  </cols>
  <sheetData>
    <row r="1" spans="1:14" ht="10.5" customHeight="1" x14ac:dyDescent="0.2">
      <c r="A1" s="57"/>
      <c r="C1" s="1"/>
    </row>
    <row r="2" spans="1:14" s="4" customFormat="1" ht="30.75" customHeight="1" x14ac:dyDescent="0.25">
      <c r="A2" s="100" t="s">
        <v>19</v>
      </c>
      <c r="B2" s="101">
        <v>2008</v>
      </c>
      <c r="C2" s="101">
        <v>2009</v>
      </c>
      <c r="D2" s="101">
        <v>2010</v>
      </c>
      <c r="E2" s="101">
        <v>2011</v>
      </c>
      <c r="F2" s="102">
        <v>2012</v>
      </c>
      <c r="G2" s="102">
        <v>2013</v>
      </c>
      <c r="H2" s="103">
        <v>2014</v>
      </c>
      <c r="I2" s="103">
        <v>2015</v>
      </c>
      <c r="J2" s="90">
        <v>2016</v>
      </c>
      <c r="K2" s="90" t="s">
        <v>163</v>
      </c>
      <c r="L2" s="104" t="s">
        <v>162</v>
      </c>
    </row>
    <row r="3" spans="1:14" ht="21" customHeight="1" x14ac:dyDescent="0.2">
      <c r="A3" s="58" t="s">
        <v>0</v>
      </c>
      <c r="B3" s="2">
        <v>1195</v>
      </c>
      <c r="C3" s="2">
        <v>1319</v>
      </c>
      <c r="D3" s="2">
        <v>1346</v>
      </c>
      <c r="E3" s="2">
        <v>1388</v>
      </c>
      <c r="F3" s="3">
        <v>1460</v>
      </c>
      <c r="G3" s="6">
        <v>1422</v>
      </c>
      <c r="H3" s="43">
        <v>1407</v>
      </c>
      <c r="I3" s="43">
        <v>1504</v>
      </c>
      <c r="J3" s="70">
        <v>1451</v>
      </c>
      <c r="K3" s="70">
        <v>1595</v>
      </c>
      <c r="L3" s="70">
        <f>Qrtly!B3</f>
        <v>1600</v>
      </c>
    </row>
    <row r="4" spans="1:14" ht="21" customHeight="1" x14ac:dyDescent="0.2">
      <c r="A4" s="58" t="s">
        <v>1</v>
      </c>
      <c r="B4" s="2">
        <v>3603</v>
      </c>
      <c r="C4" s="2">
        <v>4011</v>
      </c>
      <c r="D4" s="2">
        <v>4672</v>
      </c>
      <c r="E4" s="2">
        <v>5748</v>
      </c>
      <c r="F4" s="3">
        <v>6606</v>
      </c>
      <c r="G4" s="6">
        <v>8452</v>
      </c>
      <c r="H4" s="43">
        <v>7813</v>
      </c>
      <c r="I4" s="43">
        <v>5667</v>
      </c>
      <c r="J4" s="70">
        <f>2570+2942</f>
        <v>5512</v>
      </c>
      <c r="K4" s="70">
        <v>6056</v>
      </c>
      <c r="L4" s="70">
        <f>Qrtly!B4</f>
        <v>4700</v>
      </c>
      <c r="M4" s="2" t="s">
        <v>181</v>
      </c>
      <c r="N4" s="2">
        <v>1550</v>
      </c>
    </row>
    <row r="5" spans="1:14" ht="21" customHeight="1" x14ac:dyDescent="0.2">
      <c r="A5" s="58" t="s">
        <v>170</v>
      </c>
      <c r="B5" s="2">
        <v>495</v>
      </c>
      <c r="C5" s="2">
        <v>396</v>
      </c>
      <c r="D5" s="2">
        <v>498</v>
      </c>
      <c r="E5" s="2">
        <v>432</v>
      </c>
      <c r="F5" s="3">
        <v>241</v>
      </c>
      <c r="G5" s="6">
        <v>570</v>
      </c>
      <c r="H5" s="43">
        <v>538</v>
      </c>
      <c r="I5" s="43">
        <v>505</v>
      </c>
      <c r="J5" s="70">
        <v>547</v>
      </c>
      <c r="K5" s="70">
        <v>605</v>
      </c>
      <c r="L5" s="70">
        <f>Qrtly!B5</f>
        <v>600</v>
      </c>
    </row>
    <row r="6" spans="1:14" ht="21" customHeight="1" x14ac:dyDescent="0.2">
      <c r="A6" s="58" t="s">
        <v>117</v>
      </c>
      <c r="B6" s="2">
        <v>6406</v>
      </c>
      <c r="C6" s="2">
        <v>3813</v>
      </c>
      <c r="D6" s="2">
        <v>3556</v>
      </c>
      <c r="E6" s="2">
        <v>1895</v>
      </c>
      <c r="F6" s="3">
        <v>2863</v>
      </c>
      <c r="G6" s="6">
        <v>3062</v>
      </c>
      <c r="H6" s="45">
        <v>3265</v>
      </c>
      <c r="I6" s="45">
        <v>3233</v>
      </c>
      <c r="J6" s="70">
        <f>2393+799-2241+J23</f>
        <v>1056</v>
      </c>
      <c r="K6" s="70">
        <v>6848</v>
      </c>
      <c r="L6" s="70">
        <f>Qrtly!B6+Qrtly!B28</f>
        <v>9000</v>
      </c>
      <c r="M6" s="2" t="s">
        <v>188</v>
      </c>
    </row>
    <row r="7" spans="1:14" ht="21" customHeight="1" x14ac:dyDescent="0.2">
      <c r="A7" s="58" t="s">
        <v>4</v>
      </c>
      <c r="B7" s="2">
        <v>558</v>
      </c>
      <c r="C7" s="2">
        <v>557</v>
      </c>
      <c r="D7" s="2">
        <v>458</v>
      </c>
      <c r="E7" s="2">
        <v>742</v>
      </c>
      <c r="F7" s="3">
        <v>361</v>
      </c>
      <c r="G7" s="6">
        <v>351</v>
      </c>
      <c r="H7" s="43">
        <v>826</v>
      </c>
      <c r="I7" s="43">
        <v>352</v>
      </c>
      <c r="J7" s="70">
        <v>485</v>
      </c>
      <c r="K7" s="70">
        <v>2544</v>
      </c>
      <c r="L7" s="70">
        <f>Qrtly!B7</f>
        <v>450</v>
      </c>
    </row>
    <row r="8" spans="1:14" ht="21" customHeight="1" x14ac:dyDescent="0.2">
      <c r="A8" s="59" t="s">
        <v>6</v>
      </c>
      <c r="B8" s="8">
        <v>1572</v>
      </c>
      <c r="C8" s="8">
        <v>1812</v>
      </c>
      <c r="D8" s="8">
        <v>3300</v>
      </c>
      <c r="E8" s="8">
        <v>2516</v>
      </c>
      <c r="F8" s="9">
        <v>2058</v>
      </c>
      <c r="G8" s="6">
        <v>2263</v>
      </c>
      <c r="H8" s="43">
        <v>3259</v>
      </c>
      <c r="I8" s="43">
        <v>3340</v>
      </c>
      <c r="J8" s="70">
        <f>2290+746</f>
        <v>3036</v>
      </c>
      <c r="K8" s="70">
        <v>4171</v>
      </c>
      <c r="L8" s="70">
        <f>Qrtly!B9</f>
        <v>2967</v>
      </c>
      <c r="M8" s="2" t="s">
        <v>181</v>
      </c>
      <c r="N8" s="2">
        <v>1230</v>
      </c>
    </row>
    <row r="9" spans="1:14" ht="21" customHeight="1" thickBot="1" x14ac:dyDescent="0.3">
      <c r="A9" s="60" t="s">
        <v>7</v>
      </c>
      <c r="B9" s="10">
        <f t="shared" ref="B9:L9" si="0">SUM(B3:B8)</f>
        <v>13829</v>
      </c>
      <c r="C9" s="10">
        <f t="shared" si="0"/>
        <v>11908</v>
      </c>
      <c r="D9" s="10">
        <f t="shared" si="0"/>
        <v>13830</v>
      </c>
      <c r="E9" s="10">
        <f t="shared" si="0"/>
        <v>12721</v>
      </c>
      <c r="F9" s="10">
        <f t="shared" si="0"/>
        <v>13589</v>
      </c>
      <c r="G9" s="11">
        <f t="shared" si="0"/>
        <v>16120</v>
      </c>
      <c r="H9" s="83">
        <f t="shared" si="0"/>
        <v>17108</v>
      </c>
      <c r="I9" s="84">
        <f t="shared" si="0"/>
        <v>14601</v>
      </c>
      <c r="J9" s="89">
        <f t="shared" si="0"/>
        <v>12087</v>
      </c>
      <c r="K9" s="89">
        <f t="shared" si="0"/>
        <v>21819</v>
      </c>
      <c r="L9" s="89">
        <f t="shared" si="0"/>
        <v>19317</v>
      </c>
    </row>
    <row r="10" spans="1:14" ht="21" customHeight="1" thickTop="1" x14ac:dyDescent="0.2">
      <c r="A10" s="58" t="s">
        <v>42</v>
      </c>
      <c r="B10" s="2">
        <v>1303</v>
      </c>
      <c r="C10" s="2">
        <v>1047</v>
      </c>
      <c r="D10" s="2">
        <v>1121</v>
      </c>
      <c r="E10" s="5">
        <v>1412</v>
      </c>
      <c r="F10" s="3">
        <v>1773</v>
      </c>
      <c r="G10" s="6">
        <v>1943</v>
      </c>
      <c r="H10" s="43">
        <v>1914</v>
      </c>
      <c r="I10" s="43">
        <v>1498</v>
      </c>
      <c r="J10" s="70">
        <v>1564</v>
      </c>
      <c r="K10" s="70">
        <v>2179</v>
      </c>
      <c r="L10" s="70">
        <f>Qrtly!B11</f>
        <v>1500</v>
      </c>
      <c r="M10" s="2" t="s">
        <v>181</v>
      </c>
      <c r="N10" s="2">
        <v>300</v>
      </c>
    </row>
    <row r="11" spans="1:14" ht="21" customHeight="1" x14ac:dyDescent="0.2">
      <c r="A11" s="58" t="s">
        <v>8</v>
      </c>
      <c r="B11" s="2">
        <v>1300</v>
      </c>
      <c r="C11" s="2">
        <v>1370</v>
      </c>
      <c r="D11" s="2">
        <v>1420</v>
      </c>
      <c r="E11" s="5">
        <v>1470</v>
      </c>
      <c r="F11" s="3">
        <v>1520</v>
      </c>
      <c r="G11" s="6">
        <v>1550</v>
      </c>
      <c r="H11" s="43">
        <v>1640</v>
      </c>
      <c r="I11" s="43">
        <v>2375</v>
      </c>
      <c r="J11" s="70">
        <v>2725</v>
      </c>
      <c r="L11" s="70">
        <f>Qrtly!B12</f>
        <v>0</v>
      </c>
    </row>
    <row r="12" spans="1:14" ht="21" customHeight="1" x14ac:dyDescent="0.2">
      <c r="A12" s="58" t="s">
        <v>9</v>
      </c>
      <c r="B12" s="2">
        <v>646</v>
      </c>
      <c r="C12" s="2">
        <v>852</v>
      </c>
      <c r="D12" s="2">
        <v>1012</v>
      </c>
      <c r="E12" s="5">
        <v>984</v>
      </c>
      <c r="F12" s="3">
        <v>1242</v>
      </c>
      <c r="G12" s="6">
        <v>908</v>
      </c>
      <c r="H12" s="43">
        <v>544</v>
      </c>
      <c r="I12" s="43">
        <v>698</v>
      </c>
      <c r="J12" s="70">
        <v>1156</v>
      </c>
      <c r="K12" s="70">
        <v>200</v>
      </c>
      <c r="L12" s="70">
        <f>Qrtly!B13</f>
        <v>500</v>
      </c>
    </row>
    <row r="13" spans="1:14" ht="21" customHeight="1" x14ac:dyDescent="0.2">
      <c r="A13" s="58" t="s">
        <v>10</v>
      </c>
      <c r="B13" s="2">
        <v>0</v>
      </c>
      <c r="C13" s="2">
        <v>366</v>
      </c>
      <c r="D13" s="2">
        <v>249</v>
      </c>
      <c r="E13" s="5">
        <v>160</v>
      </c>
      <c r="F13" s="3">
        <v>660</v>
      </c>
      <c r="G13" s="12">
        <v>380</v>
      </c>
      <c r="H13" s="43">
        <v>0</v>
      </c>
      <c r="I13" s="43">
        <v>28</v>
      </c>
      <c r="J13" s="70">
        <v>0</v>
      </c>
      <c r="L13" s="70">
        <f>Qrtly!B14</f>
        <v>250</v>
      </c>
    </row>
    <row r="14" spans="1:14" ht="21" customHeight="1" x14ac:dyDescent="0.2">
      <c r="A14" s="58" t="s">
        <v>11</v>
      </c>
      <c r="B14" s="2">
        <v>2403</v>
      </c>
      <c r="C14" s="2">
        <v>2220</v>
      </c>
      <c r="D14" s="2">
        <v>2406</v>
      </c>
      <c r="E14" s="5">
        <v>2707</v>
      </c>
      <c r="F14" s="3">
        <v>2932</v>
      </c>
      <c r="G14" s="6">
        <v>3007</v>
      </c>
      <c r="H14" s="43">
        <v>2458</v>
      </c>
      <c r="I14" s="43">
        <v>3539</v>
      </c>
      <c r="J14" s="70">
        <f>686+1586+958+42</f>
        <v>3272</v>
      </c>
      <c r="K14" s="70">
        <v>3279</v>
      </c>
      <c r="L14" s="70">
        <f>Qrtly!B15</f>
        <v>2800</v>
      </c>
      <c r="M14" s="2" t="s">
        <v>181</v>
      </c>
      <c r="N14" s="2">
        <v>500</v>
      </c>
    </row>
    <row r="15" spans="1:14" ht="21" customHeight="1" x14ac:dyDescent="0.2">
      <c r="A15" s="59" t="s">
        <v>48</v>
      </c>
      <c r="B15" s="8">
        <v>200</v>
      </c>
      <c r="C15" s="8">
        <v>200</v>
      </c>
      <c r="D15" s="8">
        <v>200</v>
      </c>
      <c r="E15" s="8">
        <v>212</v>
      </c>
      <c r="F15" s="9">
        <v>233</v>
      </c>
      <c r="G15" s="6">
        <v>200</v>
      </c>
      <c r="H15" s="43">
        <v>350</v>
      </c>
      <c r="I15" s="43">
        <v>350</v>
      </c>
      <c r="J15" s="70">
        <v>350</v>
      </c>
      <c r="K15" s="70">
        <v>370</v>
      </c>
      <c r="L15" s="70">
        <f>Qrtly!B17</f>
        <v>375</v>
      </c>
    </row>
    <row r="16" spans="1:14" ht="21" customHeight="1" thickBot="1" x14ac:dyDescent="0.3">
      <c r="A16" s="60" t="s">
        <v>12</v>
      </c>
      <c r="B16" s="10">
        <f t="shared" ref="B16:L16" si="1">SUM(B10:B15)</f>
        <v>5852</v>
      </c>
      <c r="C16" s="10">
        <f t="shared" si="1"/>
        <v>6055</v>
      </c>
      <c r="D16" s="10">
        <f t="shared" si="1"/>
        <v>6408</v>
      </c>
      <c r="E16" s="10">
        <f t="shared" si="1"/>
        <v>6945</v>
      </c>
      <c r="F16" s="11">
        <f t="shared" si="1"/>
        <v>8360</v>
      </c>
      <c r="G16" s="11">
        <f t="shared" si="1"/>
        <v>7988</v>
      </c>
      <c r="H16" s="84">
        <f t="shared" si="1"/>
        <v>6906</v>
      </c>
      <c r="I16" s="84">
        <f t="shared" si="1"/>
        <v>8488</v>
      </c>
      <c r="J16" s="89">
        <f t="shared" si="1"/>
        <v>9067</v>
      </c>
      <c r="K16" s="89">
        <f t="shared" si="1"/>
        <v>6028</v>
      </c>
      <c r="L16" s="89">
        <f t="shared" si="1"/>
        <v>5425</v>
      </c>
    </row>
    <row r="17" spans="1:14" ht="22.5" customHeight="1" thickTop="1" x14ac:dyDescent="0.2">
      <c r="A17" s="58" t="s">
        <v>13</v>
      </c>
      <c r="B17" s="19">
        <v>2352</v>
      </c>
      <c r="C17" s="19">
        <v>613</v>
      </c>
      <c r="D17" s="19">
        <v>1593</v>
      </c>
      <c r="E17" s="19">
        <v>1906</v>
      </c>
      <c r="F17" s="7">
        <v>3743</v>
      </c>
      <c r="G17" s="7">
        <v>3787</v>
      </c>
      <c r="H17" s="55">
        <v>2736</v>
      </c>
      <c r="I17" s="55">
        <v>2744</v>
      </c>
      <c r="J17" s="71">
        <f>2222+445+220</f>
        <v>2887</v>
      </c>
      <c r="K17" s="71">
        <v>911</v>
      </c>
      <c r="L17" s="71">
        <f>Qrtly!B19</f>
        <v>2000</v>
      </c>
    </row>
    <row r="18" spans="1:14" ht="21" customHeight="1" x14ac:dyDescent="0.2">
      <c r="A18" s="58" t="s">
        <v>17</v>
      </c>
      <c r="B18" s="19">
        <v>194</v>
      </c>
      <c r="C18" s="19">
        <v>125</v>
      </c>
      <c r="D18" s="19">
        <v>191</v>
      </c>
      <c r="E18" s="19">
        <v>278</v>
      </c>
      <c r="F18" s="7">
        <v>552</v>
      </c>
      <c r="G18" s="7">
        <v>393</v>
      </c>
      <c r="H18" s="55">
        <v>564</v>
      </c>
      <c r="I18" s="55">
        <v>871</v>
      </c>
      <c r="J18" s="71">
        <v>594</v>
      </c>
      <c r="K18" s="71">
        <v>610</v>
      </c>
      <c r="L18" s="71">
        <f>Qrtly!B20</f>
        <v>700</v>
      </c>
      <c r="M18" s="2" t="s">
        <v>181</v>
      </c>
      <c r="N18" s="40">
        <v>300</v>
      </c>
    </row>
    <row r="19" spans="1:14" ht="21" customHeight="1" x14ac:dyDescent="0.2">
      <c r="A19" s="58" t="s">
        <v>33</v>
      </c>
      <c r="B19" s="19">
        <v>865</v>
      </c>
      <c r="C19" s="19">
        <v>736</v>
      </c>
      <c r="D19" s="19">
        <v>330</v>
      </c>
      <c r="E19" s="19">
        <v>974</v>
      </c>
      <c r="F19" s="19"/>
      <c r="G19" s="7">
        <v>1600</v>
      </c>
      <c r="H19" s="55">
        <v>2210</v>
      </c>
      <c r="I19" s="55">
        <v>1426</v>
      </c>
      <c r="J19" s="71">
        <v>1120</v>
      </c>
      <c r="K19" s="71">
        <v>827</v>
      </c>
      <c r="L19" s="71">
        <f>Qrtly!B21</f>
        <v>1000</v>
      </c>
    </row>
    <row r="20" spans="1:14" ht="21" customHeight="1" x14ac:dyDescent="0.2">
      <c r="A20" s="58" t="s">
        <v>14</v>
      </c>
      <c r="B20" s="19">
        <v>60133</v>
      </c>
      <c r="C20" s="19">
        <v>63727</v>
      </c>
      <c r="D20" s="19">
        <v>66276</v>
      </c>
      <c r="E20" s="5">
        <v>68595</v>
      </c>
      <c r="F20" s="15">
        <v>59000</v>
      </c>
      <c r="G20" s="15">
        <v>61956</v>
      </c>
      <c r="H20" s="45">
        <v>63189</v>
      </c>
      <c r="I20" s="45">
        <v>66000</v>
      </c>
      <c r="J20" s="45">
        <v>71832</v>
      </c>
      <c r="K20" s="45">
        <v>77580</v>
      </c>
      <c r="L20" s="58">
        <f>Qrtly!B22</f>
        <v>68940</v>
      </c>
    </row>
    <row r="21" spans="1:14" ht="21" hidden="1" customHeight="1" x14ac:dyDescent="0.2">
      <c r="A21" s="62" t="s">
        <v>15</v>
      </c>
      <c r="B21" s="19"/>
      <c r="C21" s="19">
        <v>-3652</v>
      </c>
      <c r="D21" s="19">
        <v>-1911</v>
      </c>
      <c r="E21" s="19">
        <v>-662</v>
      </c>
      <c r="F21" s="7">
        <v>-848</v>
      </c>
      <c r="G21" s="7">
        <v>-733</v>
      </c>
      <c r="H21" s="86"/>
      <c r="I21" s="86"/>
      <c r="J21" s="71"/>
      <c r="L21" s="71"/>
    </row>
    <row r="22" spans="1:14" ht="21" customHeight="1" x14ac:dyDescent="0.2">
      <c r="A22" s="63" t="s">
        <v>35</v>
      </c>
      <c r="B22" s="19">
        <v>781</v>
      </c>
      <c r="C22" s="19">
        <v>237</v>
      </c>
      <c r="D22" s="19">
        <v>832</v>
      </c>
      <c r="E22" s="19">
        <v>390</v>
      </c>
      <c r="F22" s="7">
        <v>738</v>
      </c>
      <c r="G22" s="7">
        <v>158</v>
      </c>
      <c r="H22" s="55">
        <v>225</v>
      </c>
      <c r="I22" s="55">
        <v>451</v>
      </c>
      <c r="J22" s="71">
        <v>482</v>
      </c>
      <c r="K22" s="71">
        <v>545</v>
      </c>
      <c r="L22" s="71">
        <f>Qrtly!B23</f>
        <v>750</v>
      </c>
    </row>
    <row r="23" spans="1:14" ht="21" customHeight="1" x14ac:dyDescent="0.2">
      <c r="A23" s="58" t="s">
        <v>36</v>
      </c>
      <c r="B23" s="19">
        <v>1027</v>
      </c>
      <c r="C23" s="19">
        <v>691</v>
      </c>
      <c r="D23" s="19">
        <v>387</v>
      </c>
      <c r="E23" s="19">
        <v>854</v>
      </c>
      <c r="F23" s="7">
        <v>1681</v>
      </c>
      <c r="G23" s="39">
        <v>1215</v>
      </c>
      <c r="H23" s="55">
        <v>487</v>
      </c>
      <c r="I23" s="55">
        <v>372</v>
      </c>
      <c r="J23" s="71">
        <v>105</v>
      </c>
      <c r="K23" s="71">
        <f>166-47</f>
        <v>119</v>
      </c>
      <c r="L23" s="71">
        <f>Qrtly!B24</f>
        <v>175</v>
      </c>
    </row>
    <row r="24" spans="1:14" ht="21" customHeight="1" x14ac:dyDescent="0.2">
      <c r="A24" s="58" t="s">
        <v>97</v>
      </c>
      <c r="B24" s="19"/>
      <c r="C24" s="19"/>
      <c r="D24" s="19"/>
      <c r="E24" s="19"/>
      <c r="F24" s="7"/>
      <c r="G24" s="39"/>
      <c r="H24" s="55"/>
      <c r="I24" s="55"/>
      <c r="J24" s="71"/>
      <c r="K24" s="71">
        <v>113</v>
      </c>
      <c r="L24" s="71">
        <f>Qrtly!B26</f>
        <v>113</v>
      </c>
    </row>
    <row r="25" spans="1:14" ht="21" customHeight="1" x14ac:dyDescent="0.2">
      <c r="A25" s="58" t="s">
        <v>73</v>
      </c>
      <c r="B25" s="19">
        <v>3200</v>
      </c>
      <c r="C25" s="19">
        <v>3185</v>
      </c>
      <c r="D25" s="19">
        <v>3230</v>
      </c>
      <c r="E25" s="19">
        <v>3100</v>
      </c>
      <c r="F25" s="7">
        <v>3700</v>
      </c>
      <c r="G25" s="39">
        <v>4100</v>
      </c>
      <c r="H25" s="55">
        <v>4100</v>
      </c>
      <c r="I25" s="55">
        <v>4300</v>
      </c>
      <c r="J25" s="53">
        <v>5450</v>
      </c>
      <c r="K25" s="71">
        <v>4800</v>
      </c>
      <c r="L25" s="71">
        <f>Qrtly!B25</f>
        <v>4300</v>
      </c>
    </row>
    <row r="26" spans="1:14" ht="21" hidden="1" customHeight="1" x14ac:dyDescent="0.2">
      <c r="A26" s="64" t="s">
        <v>41</v>
      </c>
      <c r="B26" s="8"/>
      <c r="C26" s="8"/>
      <c r="D26" s="8"/>
      <c r="E26" s="8"/>
      <c r="F26" s="9"/>
      <c r="G26" s="18"/>
      <c r="H26" s="45">
        <v>1682</v>
      </c>
      <c r="I26" s="45"/>
      <c r="J26" s="71"/>
      <c r="K26" s="71"/>
      <c r="L26" s="71"/>
    </row>
    <row r="27" spans="1:14" ht="14.25" hidden="1" customHeight="1" x14ac:dyDescent="0.2">
      <c r="A27" s="65" t="s">
        <v>39</v>
      </c>
      <c r="B27" s="13"/>
      <c r="C27" s="13"/>
      <c r="D27" s="17"/>
      <c r="E27" s="17"/>
      <c r="F27" s="17"/>
      <c r="G27" s="20">
        <v>2307</v>
      </c>
      <c r="H27" s="45"/>
      <c r="I27" s="45"/>
      <c r="J27" s="71"/>
      <c r="K27" s="71"/>
      <c r="L27" s="71"/>
    </row>
    <row r="28" spans="1:14" ht="14.25" hidden="1" customHeight="1" x14ac:dyDescent="0.2">
      <c r="A28" s="65" t="s">
        <v>40</v>
      </c>
      <c r="B28" s="13"/>
      <c r="C28" s="13"/>
      <c r="D28" s="17">
        <v>8174</v>
      </c>
      <c r="E28" s="17"/>
      <c r="F28" s="17"/>
      <c r="G28" s="21"/>
      <c r="H28" s="45"/>
      <c r="I28" s="45"/>
      <c r="J28" s="71"/>
      <c r="K28" s="71"/>
      <c r="L28" s="71"/>
    </row>
    <row r="29" spans="1:14" ht="14.25" hidden="1" customHeight="1" x14ac:dyDescent="0.2">
      <c r="A29" s="66" t="s">
        <v>52</v>
      </c>
      <c r="D29" s="22"/>
      <c r="E29" s="22"/>
      <c r="F29" s="22">
        <v>4958</v>
      </c>
      <c r="G29" s="23">
        <v>2172</v>
      </c>
    </row>
    <row r="30" spans="1:14" ht="21" customHeight="1" thickBot="1" x14ac:dyDescent="0.3">
      <c r="A30" s="67" t="s">
        <v>18</v>
      </c>
      <c r="B30" s="24">
        <f t="shared" ref="B30:G30" si="2">SUM(B17:B29)+B9+B16</f>
        <v>88233</v>
      </c>
      <c r="C30" s="24">
        <f t="shared" si="2"/>
        <v>83625</v>
      </c>
      <c r="D30" s="24">
        <f t="shared" si="2"/>
        <v>99340</v>
      </c>
      <c r="E30" s="24">
        <f t="shared" si="2"/>
        <v>95101</v>
      </c>
      <c r="F30" s="24">
        <f t="shared" si="2"/>
        <v>95473</v>
      </c>
      <c r="G30" s="25">
        <f t="shared" si="2"/>
        <v>101063</v>
      </c>
      <c r="H30" s="44">
        <f>H9+H16+H17+H18+H19+H20+H22+H23+H25+H26</f>
        <v>99207</v>
      </c>
      <c r="I30" s="44">
        <f>I9+I16+I17+I18+I19+I20+I22+I23+I25+I26</f>
        <v>99253</v>
      </c>
      <c r="J30" s="51">
        <f>SUM(J17:J29)+J9+J16</f>
        <v>103624</v>
      </c>
      <c r="K30" s="51">
        <f>K9+K16+K17+K18+K19+K20+K22+K23+K24+K25</f>
        <v>113352</v>
      </c>
      <c r="L30" s="44">
        <f>L9+L16+L17+L18+L19+L20+L22+L23+L25+L26+L24</f>
        <v>102720</v>
      </c>
      <c r="M30" s="19"/>
      <c r="N30" s="13">
        <f>SUM(N4:N25)</f>
        <v>3880</v>
      </c>
    </row>
    <row r="31" spans="1:14" ht="14.25" customHeight="1" thickTop="1" x14ac:dyDescent="0.2">
      <c r="A31" s="68"/>
      <c r="B31" s="26"/>
      <c r="C31" s="26"/>
      <c r="D31" s="26"/>
      <c r="E31" s="26"/>
      <c r="F31" s="26"/>
      <c r="G31" s="27"/>
      <c r="H31" s="45"/>
      <c r="I31" s="45"/>
      <c r="J31" s="169">
        <f>J25/J38</f>
        <v>6.1414678671639938E-2</v>
      </c>
      <c r="K31" s="169"/>
      <c r="L31" s="71"/>
      <c r="M31" s="19"/>
    </row>
    <row r="32" spans="1:14" ht="37.5" customHeight="1" x14ac:dyDescent="0.25">
      <c r="A32" s="69" t="s">
        <v>20</v>
      </c>
      <c r="B32" s="28">
        <v>2008</v>
      </c>
      <c r="C32" s="28">
        <v>2009</v>
      </c>
      <c r="D32" s="28">
        <v>2010</v>
      </c>
      <c r="E32" s="28">
        <v>2011</v>
      </c>
      <c r="F32" s="28">
        <v>2012</v>
      </c>
      <c r="G32" s="29">
        <v>2013</v>
      </c>
      <c r="H32" s="29">
        <v>2014</v>
      </c>
      <c r="I32" s="69">
        <f>I2</f>
        <v>2015</v>
      </c>
      <c r="J32" s="91">
        <v>2016</v>
      </c>
      <c r="K32" s="91" t="str">
        <f>K2</f>
        <v>2019 Actual</v>
      </c>
      <c r="L32" s="91" t="str">
        <f>L2</f>
        <v>2020 Budget</v>
      </c>
      <c r="M32" s="19"/>
    </row>
    <row r="33" spans="1:14" ht="40.15" customHeight="1" x14ac:dyDescent="0.2">
      <c r="A33" s="70" t="s">
        <v>21</v>
      </c>
      <c r="B33" s="2">
        <v>50726</v>
      </c>
      <c r="C33" s="2">
        <v>50298</v>
      </c>
      <c r="D33" s="2">
        <v>50437</v>
      </c>
      <c r="E33" s="2">
        <v>48036</v>
      </c>
      <c r="F33" s="3">
        <v>56017</v>
      </c>
      <c r="G33" s="3">
        <v>65755</v>
      </c>
      <c r="H33" s="45">
        <v>63693</v>
      </c>
      <c r="I33" s="45">
        <v>65832</v>
      </c>
      <c r="J33" s="43">
        <f>68055+2890</f>
        <v>70945</v>
      </c>
      <c r="K33" s="43">
        <v>59088</v>
      </c>
      <c r="L33" s="180">
        <f>Qrtly!B33</f>
        <v>57000</v>
      </c>
      <c r="M33" s="284" t="s">
        <v>189</v>
      </c>
    </row>
    <row r="34" spans="1:14" ht="21" customHeight="1" x14ac:dyDescent="0.2">
      <c r="A34" s="70" t="s">
        <v>22</v>
      </c>
      <c r="B34" s="2">
        <v>1219</v>
      </c>
      <c r="C34" s="2">
        <v>1230</v>
      </c>
      <c r="D34" s="2">
        <v>1353</v>
      </c>
      <c r="E34" s="2">
        <v>1978</v>
      </c>
      <c r="F34" s="3">
        <v>858</v>
      </c>
      <c r="G34" s="3">
        <v>692</v>
      </c>
      <c r="H34" s="45">
        <v>877</v>
      </c>
      <c r="I34" s="45">
        <v>1237</v>
      </c>
      <c r="J34" s="43">
        <v>1467</v>
      </c>
      <c r="K34" s="43">
        <v>1992</v>
      </c>
      <c r="L34" s="43">
        <f>Qrtly!B34</f>
        <v>1500</v>
      </c>
      <c r="M34" s="278" t="s">
        <v>181</v>
      </c>
      <c r="N34" s="2">
        <v>1000</v>
      </c>
    </row>
    <row r="35" spans="1:14" ht="21" customHeight="1" x14ac:dyDescent="0.2">
      <c r="A35" s="70" t="s">
        <v>164</v>
      </c>
      <c r="F35" s="3"/>
      <c r="H35" s="45"/>
      <c r="I35" s="45"/>
      <c r="J35" s="43"/>
      <c r="K35" s="43">
        <v>4310</v>
      </c>
      <c r="L35" s="43"/>
      <c r="M35" s="15"/>
    </row>
    <row r="36" spans="1:14" ht="40.9" customHeight="1" x14ac:dyDescent="0.2">
      <c r="A36" s="71" t="s">
        <v>27</v>
      </c>
      <c r="B36" s="2">
        <v>12869</v>
      </c>
      <c r="C36" s="2">
        <v>13360</v>
      </c>
      <c r="D36" s="2">
        <v>13058</v>
      </c>
      <c r="E36" s="2">
        <v>11000</v>
      </c>
      <c r="F36" s="3">
        <v>12800</v>
      </c>
      <c r="G36" s="3">
        <v>14167</v>
      </c>
      <c r="H36" s="45">
        <v>14644</v>
      </c>
      <c r="I36" s="45">
        <v>15895</v>
      </c>
      <c r="J36" s="43">
        <v>16329</v>
      </c>
      <c r="K36" s="43">
        <v>14760</v>
      </c>
      <c r="L36" s="43">
        <f>Qrtly!B35</f>
        <v>13000</v>
      </c>
      <c r="M36" s="284" t="s">
        <v>189</v>
      </c>
    </row>
    <row r="37" spans="1:14" ht="2.4500000000000002" customHeight="1" x14ac:dyDescent="0.2">
      <c r="A37" s="58" t="s">
        <v>37</v>
      </c>
      <c r="B37" s="8"/>
      <c r="C37" s="8"/>
      <c r="D37" s="8"/>
      <c r="E37" s="8"/>
      <c r="F37" s="8"/>
      <c r="G37" s="3">
        <v>457</v>
      </c>
      <c r="H37" s="87">
        <v>0</v>
      </c>
      <c r="I37" s="87"/>
      <c r="J37" s="87"/>
      <c r="K37" s="87"/>
      <c r="L37" s="87"/>
      <c r="M37" s="19"/>
    </row>
    <row r="38" spans="1:14" ht="21" customHeight="1" x14ac:dyDescent="0.2">
      <c r="A38" s="72" t="s">
        <v>23</v>
      </c>
      <c r="B38" s="13">
        <f>SUM(B33:B37)</f>
        <v>64814</v>
      </c>
      <c r="C38" s="13">
        <f>SUM(C33:C37)</f>
        <v>64888</v>
      </c>
      <c r="D38" s="13">
        <f>SUM(D33:D37)</f>
        <v>64848</v>
      </c>
      <c r="E38" s="13">
        <f>SUM(E33:E37)</f>
        <v>61014</v>
      </c>
      <c r="F38" s="13">
        <f>SUM(F33:F37)</f>
        <v>69675</v>
      </c>
      <c r="G38" s="14">
        <f t="shared" ref="G38" si="3">SUM(G33:G37)</f>
        <v>81071</v>
      </c>
      <c r="H38" s="54">
        <f>SUM(H33:H37)</f>
        <v>79214</v>
      </c>
      <c r="I38" s="54">
        <f>SUM(I33:I37)</f>
        <v>82964</v>
      </c>
      <c r="J38" s="54">
        <f>SUM(J33:J37)</f>
        <v>88741</v>
      </c>
      <c r="K38" s="54">
        <f>K33+K34+K36+K35</f>
        <v>80150</v>
      </c>
      <c r="L38" s="54">
        <f>L33+L34+L36</f>
        <v>71500</v>
      </c>
      <c r="M38" s="19"/>
    </row>
    <row r="39" spans="1:14" ht="21" customHeight="1" x14ac:dyDescent="0.2">
      <c r="A39" s="70" t="s">
        <v>24</v>
      </c>
      <c r="B39" s="2">
        <v>546</v>
      </c>
      <c r="C39" s="2">
        <v>257</v>
      </c>
      <c r="D39" s="2">
        <v>749</v>
      </c>
      <c r="E39" s="2">
        <v>-273</v>
      </c>
      <c r="F39" s="3">
        <v>566</v>
      </c>
      <c r="G39" s="3">
        <v>1496</v>
      </c>
      <c r="H39" s="45">
        <v>701</v>
      </c>
      <c r="I39" s="45">
        <v>1864</v>
      </c>
      <c r="J39" s="43">
        <v>602</v>
      </c>
      <c r="K39" s="43">
        <v>741</v>
      </c>
      <c r="L39" s="71">
        <f>Qrtly!B38</f>
        <v>900</v>
      </c>
      <c r="M39" s="278" t="s">
        <v>181</v>
      </c>
      <c r="N39" s="2">
        <v>300</v>
      </c>
    </row>
    <row r="40" spans="1:14" ht="21" customHeight="1" x14ac:dyDescent="0.2">
      <c r="A40" s="70" t="s">
        <v>25</v>
      </c>
      <c r="B40" s="2">
        <v>18333</v>
      </c>
      <c r="C40" s="2">
        <v>20952</v>
      </c>
      <c r="D40" s="2">
        <v>22591</v>
      </c>
      <c r="E40" s="2">
        <v>24569</v>
      </c>
      <c r="F40" s="3">
        <v>24956</v>
      </c>
      <c r="G40" s="3">
        <v>26535</v>
      </c>
      <c r="H40" s="45">
        <v>26097</v>
      </c>
      <c r="I40" s="45">
        <v>28085</v>
      </c>
      <c r="J40" s="43">
        <v>28906</v>
      </c>
      <c r="K40" s="43">
        <v>28809</v>
      </c>
      <c r="L40" s="71">
        <f>Qrtly!B39</f>
        <v>16750</v>
      </c>
      <c r="M40" s="278" t="s">
        <v>181</v>
      </c>
      <c r="N40" s="2">
        <v>11250</v>
      </c>
    </row>
    <row r="41" spans="1:14" ht="21" customHeight="1" x14ac:dyDescent="0.2">
      <c r="A41" s="70" t="s">
        <v>26</v>
      </c>
      <c r="B41" s="2">
        <v>311</v>
      </c>
      <c r="C41" s="2">
        <v>596</v>
      </c>
      <c r="D41" s="2">
        <v>712</v>
      </c>
      <c r="E41" s="2">
        <v>1187</v>
      </c>
      <c r="F41" s="3">
        <v>1708</v>
      </c>
      <c r="G41" s="3">
        <v>2052</v>
      </c>
      <c r="H41" s="56">
        <v>3029</v>
      </c>
      <c r="I41" s="56">
        <v>3438</v>
      </c>
      <c r="J41" s="43">
        <f>30+796</f>
        <v>826</v>
      </c>
      <c r="K41" s="43">
        <v>1013</v>
      </c>
      <c r="L41" s="71">
        <f>Qrtly!B40</f>
        <v>500</v>
      </c>
      <c r="M41" s="41"/>
    </row>
    <row r="42" spans="1:14" ht="21" customHeight="1" x14ac:dyDescent="0.2">
      <c r="A42" s="70" t="s">
        <v>34</v>
      </c>
      <c r="F42" s="3">
        <v>247</v>
      </c>
      <c r="G42" s="3">
        <v>174</v>
      </c>
      <c r="H42" s="45">
        <v>304</v>
      </c>
      <c r="I42" s="45">
        <v>665</v>
      </c>
      <c r="J42" s="58">
        <f>50+283</f>
        <v>333</v>
      </c>
      <c r="K42" s="58">
        <v>222</v>
      </c>
      <c r="L42" s="71">
        <f>Qrtly!B41</f>
        <v>200</v>
      </c>
      <c r="M42" s="19"/>
    </row>
    <row r="43" spans="1:14" ht="21" hidden="1" customHeight="1" x14ac:dyDescent="0.2">
      <c r="A43" s="70" t="s">
        <v>28</v>
      </c>
      <c r="F43" s="3">
        <v>2000</v>
      </c>
      <c r="H43" s="45"/>
      <c r="I43" s="45"/>
      <c r="J43" s="71"/>
      <c r="K43" s="71"/>
      <c r="L43" s="71"/>
      <c r="M43" s="19"/>
    </row>
    <row r="44" spans="1:14" ht="21" customHeight="1" thickBot="1" x14ac:dyDescent="0.25">
      <c r="A44" s="73" t="s">
        <v>29</v>
      </c>
      <c r="B44" s="30">
        <f t="shared" ref="B44:G44" si="4">SUM(B39:B43)+B38</f>
        <v>84004</v>
      </c>
      <c r="C44" s="30">
        <f t="shared" si="4"/>
        <v>86693</v>
      </c>
      <c r="D44" s="30">
        <f t="shared" si="4"/>
        <v>88900</v>
      </c>
      <c r="E44" s="30">
        <f t="shared" si="4"/>
        <v>86497</v>
      </c>
      <c r="F44" s="30">
        <f t="shared" si="4"/>
        <v>99152</v>
      </c>
      <c r="G44" s="31">
        <f t="shared" si="4"/>
        <v>111328</v>
      </c>
      <c r="H44" s="46">
        <f>H38+H39+H40+H41+H42+H43</f>
        <v>109345</v>
      </c>
      <c r="I44" s="46">
        <f>I38+I39+I40+I41+I42+I43</f>
        <v>117016</v>
      </c>
      <c r="J44" s="46">
        <f>SUM(J39:J43)+J38</f>
        <v>119408</v>
      </c>
      <c r="K44" s="46">
        <f>SUM(K38:K42)</f>
        <v>110935</v>
      </c>
      <c r="L44" s="46">
        <f>SUM(L39:L43)+L38</f>
        <v>89850</v>
      </c>
      <c r="M44" s="19"/>
      <c r="N44" s="13">
        <f>SUM(N33:N42)</f>
        <v>12550</v>
      </c>
    </row>
    <row r="45" spans="1:14" ht="21" customHeight="1" thickTop="1" x14ac:dyDescent="0.2">
      <c r="A45" s="58" t="s">
        <v>51</v>
      </c>
      <c r="J45" s="71">
        <v>-5000</v>
      </c>
      <c r="K45" s="71"/>
      <c r="L45" s="71"/>
      <c r="M45" s="19"/>
    </row>
    <row r="46" spans="1:14" ht="21" customHeight="1" thickBot="1" x14ac:dyDescent="0.25">
      <c r="A46" s="58" t="s">
        <v>85</v>
      </c>
      <c r="J46" s="71"/>
      <c r="K46" s="71"/>
      <c r="L46" s="71"/>
      <c r="M46" s="19"/>
    </row>
    <row r="47" spans="1:14" ht="21" hidden="1" customHeight="1" thickBot="1" x14ac:dyDescent="0.25">
      <c r="A47" s="58" t="s">
        <v>38</v>
      </c>
      <c r="G47" s="3">
        <v>2019</v>
      </c>
      <c r="J47" s="71"/>
      <c r="K47" s="71"/>
      <c r="L47" s="71"/>
      <c r="M47" s="19"/>
    </row>
    <row r="48" spans="1:14" ht="21" customHeight="1" thickTop="1" thickBot="1" x14ac:dyDescent="0.25">
      <c r="A48" s="74" t="s">
        <v>94</v>
      </c>
      <c r="B48" s="32">
        <f>B44-B30</f>
        <v>-4229</v>
      </c>
      <c r="C48" s="32">
        <f>C44-C30</f>
        <v>3068</v>
      </c>
      <c r="D48" s="32">
        <f>D44-D30</f>
        <v>-10440</v>
      </c>
      <c r="E48" s="32">
        <f>E44-E30</f>
        <v>-8604</v>
      </c>
      <c r="F48" s="32">
        <f>F44-F30</f>
        <v>3679</v>
      </c>
      <c r="G48" s="33">
        <f>G44-G30+G47</f>
        <v>12284</v>
      </c>
      <c r="H48" s="47">
        <f>H44-H30+H47</f>
        <v>10138</v>
      </c>
      <c r="I48" s="47">
        <f>I44-I30+I47</f>
        <v>17763</v>
      </c>
      <c r="J48" s="47">
        <f>J44-J30+J45+J47</f>
        <v>10784</v>
      </c>
      <c r="K48" s="279">
        <f>K44-K30</f>
        <v>-2417</v>
      </c>
      <c r="L48" s="279">
        <f>L44-L30+L45+L47</f>
        <v>-12870</v>
      </c>
      <c r="M48" s="19" t="s">
        <v>178</v>
      </c>
    </row>
    <row r="49" spans="1:23" ht="13.5" customHeight="1" thickTop="1" thickBot="1" x14ac:dyDescent="0.25">
      <c r="J49" s="71"/>
      <c r="K49" s="71"/>
      <c r="L49" s="71"/>
      <c r="M49" s="19"/>
    </row>
    <row r="50" spans="1:23" ht="21" customHeight="1" x14ac:dyDescent="0.25">
      <c r="A50" s="75" t="s">
        <v>30</v>
      </c>
      <c r="B50" s="34"/>
      <c r="C50" s="34"/>
      <c r="D50" s="34"/>
      <c r="E50" s="34"/>
      <c r="F50" s="34"/>
      <c r="G50" s="35"/>
      <c r="H50" s="48"/>
      <c r="I50" s="48"/>
      <c r="J50" s="92"/>
      <c r="K50" s="92"/>
      <c r="L50" s="95"/>
      <c r="M50" s="19"/>
    </row>
    <row r="51" spans="1:23" ht="21" customHeight="1" thickBot="1" x14ac:dyDescent="0.25">
      <c r="A51" s="76" t="s">
        <v>31</v>
      </c>
      <c r="B51" s="19">
        <v>17507</v>
      </c>
      <c r="C51" s="19">
        <v>13459</v>
      </c>
      <c r="D51" s="19">
        <v>15406</v>
      </c>
      <c r="E51" s="19">
        <v>4012</v>
      </c>
      <c r="F51" s="36">
        <v>-3714</v>
      </c>
      <c r="G51" s="7">
        <v>-802</v>
      </c>
      <c r="H51" s="45">
        <v>8987</v>
      </c>
      <c r="I51" s="45">
        <v>12043</v>
      </c>
      <c r="J51" s="53">
        <f>I52</f>
        <v>22456</v>
      </c>
      <c r="K51" s="53">
        <v>16514</v>
      </c>
      <c r="L51" s="96">
        <f>K52</f>
        <v>14097</v>
      </c>
      <c r="M51" s="19"/>
    </row>
    <row r="52" spans="1:23" ht="21" customHeight="1" thickTop="1" thickBot="1" x14ac:dyDescent="0.3">
      <c r="A52" s="77" t="s">
        <v>32</v>
      </c>
      <c r="B52" s="37">
        <v>13459</v>
      </c>
      <c r="C52" s="37">
        <v>15406</v>
      </c>
      <c r="D52" s="37">
        <v>4012</v>
      </c>
      <c r="E52" s="37">
        <v>-3714</v>
      </c>
      <c r="F52" s="37">
        <v>-802</v>
      </c>
      <c r="G52" s="42">
        <v>8987</v>
      </c>
      <c r="H52" s="88">
        <v>12043</v>
      </c>
      <c r="I52" s="52">
        <v>22456</v>
      </c>
      <c r="J52" s="52">
        <f>SUM(J48:J51)</f>
        <v>33240</v>
      </c>
      <c r="K52" s="52">
        <f>K51+K48</f>
        <v>14097</v>
      </c>
      <c r="L52" s="105">
        <f>SUM(L48:L51)</f>
        <v>1227</v>
      </c>
    </row>
    <row r="53" spans="1:23" ht="21" customHeight="1" x14ac:dyDescent="0.25">
      <c r="A53" s="78"/>
      <c r="B53" s="207"/>
      <c r="C53" s="207"/>
      <c r="D53" s="207"/>
      <c r="E53" s="207"/>
      <c r="F53" s="207"/>
      <c r="G53" s="208"/>
      <c r="H53" s="209"/>
      <c r="I53" s="210"/>
      <c r="J53" s="210"/>
      <c r="K53" s="210"/>
      <c r="L53" s="210"/>
      <c r="M53" s="70" t="s">
        <v>168</v>
      </c>
    </row>
    <row r="54" spans="1:23" ht="29.45" customHeight="1" thickBot="1" x14ac:dyDescent="0.25">
      <c r="A54" s="76"/>
      <c r="B54" s="19"/>
      <c r="C54" s="19"/>
      <c r="D54" s="19"/>
      <c r="E54" s="19"/>
      <c r="F54" s="5"/>
      <c r="G54" s="7"/>
      <c r="H54" s="45"/>
      <c r="I54" s="45"/>
      <c r="J54" s="53"/>
      <c r="K54" s="53"/>
      <c r="L54" s="206"/>
      <c r="M54" s="70" t="s">
        <v>100</v>
      </c>
      <c r="O54" s="70">
        <v>11326</v>
      </c>
    </row>
    <row r="55" spans="1:23" ht="21" customHeight="1" x14ac:dyDescent="0.2">
      <c r="A55" s="78" t="s">
        <v>98</v>
      </c>
      <c r="B55" s="34"/>
      <c r="C55" s="34"/>
      <c r="D55" s="34"/>
      <c r="E55" s="34"/>
      <c r="F55" s="34"/>
      <c r="G55" s="35"/>
      <c r="H55" s="48">
        <v>12152</v>
      </c>
      <c r="I55" s="48">
        <v>13766</v>
      </c>
      <c r="J55" s="93">
        <f>12687+1201</f>
        <v>13888</v>
      </c>
      <c r="K55" s="93">
        <v>16420</v>
      </c>
      <c r="L55" s="97">
        <f>Qrtly!B53</f>
        <v>16400</v>
      </c>
      <c r="M55" s="70" t="s">
        <v>101</v>
      </c>
      <c r="O55" s="70">
        <v>3813</v>
      </c>
      <c r="S55" s="3"/>
      <c r="T55" s="43"/>
      <c r="U55" s="43"/>
      <c r="V55" s="70"/>
      <c r="W55" s="70"/>
    </row>
    <row r="56" spans="1:23" ht="21" customHeight="1" x14ac:dyDescent="0.2">
      <c r="A56" s="79" t="s">
        <v>99</v>
      </c>
      <c r="B56" s="19"/>
      <c r="C56" s="19"/>
      <c r="D56" s="19"/>
      <c r="E56" s="19"/>
      <c r="F56" s="19"/>
      <c r="G56" s="7"/>
      <c r="H56" s="45">
        <v>715</v>
      </c>
      <c r="I56" s="45">
        <v>0</v>
      </c>
      <c r="J56" s="71">
        <f>16406-J55</f>
        <v>2518</v>
      </c>
      <c r="K56" s="71">
        <v>1039</v>
      </c>
      <c r="L56" s="96">
        <f>Qrtly!B54</f>
        <v>2500</v>
      </c>
      <c r="M56" s="70" t="s">
        <v>102</v>
      </c>
      <c r="O56" s="70">
        <v>1281</v>
      </c>
      <c r="S56" s="3"/>
      <c r="T56" s="43"/>
      <c r="U56" s="43"/>
      <c r="V56" s="70"/>
    </row>
    <row r="57" spans="1:23" ht="21" customHeight="1" x14ac:dyDescent="0.2">
      <c r="A57" s="80" t="s">
        <v>45</v>
      </c>
      <c r="B57" s="38"/>
      <c r="C57" s="38"/>
      <c r="D57" s="38"/>
      <c r="E57" s="38"/>
      <c r="F57" s="38"/>
      <c r="G57" s="16"/>
      <c r="H57" s="49">
        <v>31402</v>
      </c>
      <c r="I57" s="49">
        <v>25557</v>
      </c>
      <c r="J57" s="94">
        <v>54664</v>
      </c>
      <c r="K57" s="94">
        <v>64378</v>
      </c>
      <c r="L57" s="98">
        <f>K60</f>
        <v>47316</v>
      </c>
      <c r="M57" s="70"/>
      <c r="O57" s="72">
        <f>SUM(O54:O56)</f>
        <v>16420</v>
      </c>
      <c r="S57" s="3"/>
      <c r="T57" s="43"/>
      <c r="U57" s="43"/>
      <c r="V57" s="70"/>
    </row>
    <row r="58" spans="1:23" ht="21" customHeight="1" x14ac:dyDescent="0.2">
      <c r="A58" s="79" t="s">
        <v>20</v>
      </c>
      <c r="B58" s="19"/>
      <c r="C58" s="19"/>
      <c r="D58" s="19"/>
      <c r="E58" s="19"/>
      <c r="F58" s="19"/>
      <c r="G58" s="7"/>
      <c r="H58" s="45">
        <v>1476</v>
      </c>
      <c r="I58" s="45">
        <v>37873</v>
      </c>
      <c r="J58" s="71">
        <v>26047</v>
      </c>
      <c r="K58" s="71">
        <f>52+345</f>
        <v>397</v>
      </c>
      <c r="L58" s="96">
        <v>400</v>
      </c>
      <c r="M58" s="70" t="s">
        <v>167</v>
      </c>
      <c r="S58" s="3"/>
      <c r="T58" s="43"/>
      <c r="U58" s="43"/>
      <c r="V58" s="70"/>
    </row>
    <row r="59" spans="1:23" ht="21" customHeight="1" x14ac:dyDescent="0.2">
      <c r="A59" s="81" t="s">
        <v>47</v>
      </c>
      <c r="B59" s="19"/>
      <c r="C59" s="19"/>
      <c r="D59" s="19"/>
      <c r="E59" s="19"/>
      <c r="F59" s="19"/>
      <c r="G59" s="7"/>
      <c r="H59" s="99">
        <v>5000</v>
      </c>
      <c r="I59" s="99">
        <v>5000</v>
      </c>
      <c r="J59" s="99">
        <f>-J45</f>
        <v>5000</v>
      </c>
      <c r="K59" s="99"/>
      <c r="L59" s="106">
        <f>-L45</f>
        <v>0</v>
      </c>
      <c r="M59" s="70" t="s">
        <v>103</v>
      </c>
      <c r="O59" s="70">
        <v>100</v>
      </c>
      <c r="S59" s="3"/>
      <c r="T59" s="43"/>
      <c r="U59" s="43"/>
      <c r="V59" s="70"/>
    </row>
    <row r="60" spans="1:23" ht="21" customHeight="1" thickBot="1" x14ac:dyDescent="0.3">
      <c r="A60" s="211" t="s">
        <v>112</v>
      </c>
      <c r="B60" s="212"/>
      <c r="C60" s="212"/>
      <c r="D60" s="212"/>
      <c r="E60" s="212"/>
      <c r="F60" s="212"/>
      <c r="G60" s="213"/>
      <c r="H60" s="214">
        <v>25557</v>
      </c>
      <c r="I60" s="214">
        <f>I57-I55-I56+I58+I59</f>
        <v>54664</v>
      </c>
      <c r="J60" s="215">
        <f>J57-J55-J56+J58+J59</f>
        <v>69305</v>
      </c>
      <c r="K60" s="215">
        <f>K57-K55-K56+K58+K59</f>
        <v>47316</v>
      </c>
      <c r="L60" s="216">
        <f>L57-L55-L56+L58+L59</f>
        <v>28816</v>
      </c>
      <c r="M60" s="70" t="s">
        <v>104</v>
      </c>
      <c r="O60" s="70">
        <v>0</v>
      </c>
      <c r="S60" s="3"/>
      <c r="T60" s="43"/>
      <c r="U60" s="43"/>
      <c r="V60" s="70"/>
      <c r="W60" s="70"/>
    </row>
    <row r="61" spans="1:23" x14ac:dyDescent="0.2">
      <c r="M61" s="70" t="s">
        <v>105</v>
      </c>
      <c r="O61" s="70">
        <v>230</v>
      </c>
      <c r="S61" s="3"/>
      <c r="T61" s="43"/>
      <c r="U61" s="43"/>
      <c r="V61" s="70"/>
    </row>
    <row r="62" spans="1:23" x14ac:dyDescent="0.2">
      <c r="A62" s="70" t="s">
        <v>113</v>
      </c>
      <c r="M62" s="70" t="s">
        <v>169</v>
      </c>
      <c r="O62" s="70">
        <v>536</v>
      </c>
      <c r="S62" s="3"/>
      <c r="T62" s="43"/>
      <c r="U62" s="43"/>
      <c r="V62" s="70"/>
    </row>
    <row r="63" spans="1:23" x14ac:dyDescent="0.2">
      <c r="A63" s="70" t="s">
        <v>68</v>
      </c>
      <c r="K63" s="70">
        <v>5940</v>
      </c>
      <c r="M63" s="70" t="s">
        <v>106</v>
      </c>
      <c r="O63" s="70">
        <v>40</v>
      </c>
      <c r="S63" s="3"/>
      <c r="T63" s="43"/>
      <c r="U63" s="43"/>
      <c r="V63" s="70"/>
    </row>
    <row r="64" spans="1:23" x14ac:dyDescent="0.2">
      <c r="A64" s="70" t="s">
        <v>111</v>
      </c>
      <c r="K64" s="70">
        <v>41376</v>
      </c>
      <c r="M64" s="70" t="s">
        <v>107</v>
      </c>
      <c r="O64" s="70">
        <v>133</v>
      </c>
      <c r="S64" s="3"/>
      <c r="T64" s="43"/>
      <c r="U64" s="43"/>
      <c r="V64" s="70"/>
    </row>
    <row r="65" spans="1:22" x14ac:dyDescent="0.2">
      <c r="K65" s="72">
        <f>K63+K64</f>
        <v>47316</v>
      </c>
      <c r="L65" s="70" t="s">
        <v>172</v>
      </c>
      <c r="M65" s="70"/>
      <c r="O65" s="72">
        <f>SUM(O59:O64)</f>
        <v>1039</v>
      </c>
      <c r="S65" s="3"/>
      <c r="T65" s="43"/>
      <c r="U65" s="43"/>
      <c r="V65" s="70"/>
    </row>
    <row r="66" spans="1:22" x14ac:dyDescent="0.2">
      <c r="L66" s="161"/>
      <c r="S66" s="3"/>
      <c r="T66" s="43"/>
      <c r="U66" s="43"/>
      <c r="V66" s="70"/>
    </row>
    <row r="67" spans="1:22" ht="15.75" x14ac:dyDescent="0.25">
      <c r="A67" s="110" t="s">
        <v>109</v>
      </c>
      <c r="S67" s="3"/>
      <c r="T67" s="43"/>
      <c r="U67" s="43"/>
      <c r="V67" s="70"/>
    </row>
    <row r="68" spans="1:22" x14ac:dyDescent="0.2">
      <c r="A68" s="70" t="s">
        <v>80</v>
      </c>
      <c r="K68" s="70">
        <v>2622</v>
      </c>
    </row>
    <row r="69" spans="1:22" x14ac:dyDescent="0.2">
      <c r="A69" s="70" t="s">
        <v>108</v>
      </c>
      <c r="K69" s="70">
        <v>1505</v>
      </c>
    </row>
    <row r="70" spans="1:22" x14ac:dyDescent="0.2">
      <c r="A70" s="70" t="s">
        <v>79</v>
      </c>
      <c r="K70" s="70">
        <v>926</v>
      </c>
    </row>
    <row r="71" spans="1:22" x14ac:dyDescent="0.2">
      <c r="A71" s="70" t="s">
        <v>78</v>
      </c>
      <c r="K71" s="70">
        <v>11</v>
      </c>
    </row>
    <row r="72" spans="1:22" x14ac:dyDescent="0.2">
      <c r="A72" s="70" t="s">
        <v>76</v>
      </c>
      <c r="K72" s="203">
        <f>-21+-47</f>
        <v>-68</v>
      </c>
    </row>
    <row r="73" spans="1:22" x14ac:dyDescent="0.2">
      <c r="A73" s="70" t="s">
        <v>77</v>
      </c>
      <c r="K73" s="203">
        <v>255</v>
      </c>
    </row>
    <row r="74" spans="1:22" x14ac:dyDescent="0.2">
      <c r="A74" s="70" t="s">
        <v>171</v>
      </c>
      <c r="K74" s="203">
        <v>160</v>
      </c>
    </row>
    <row r="75" spans="1:22" x14ac:dyDescent="0.2">
      <c r="A75" s="70" t="s">
        <v>81</v>
      </c>
      <c r="K75" s="70">
        <v>242</v>
      </c>
    </row>
    <row r="76" spans="1:22" x14ac:dyDescent="0.2">
      <c r="A76" s="70" t="s">
        <v>68</v>
      </c>
      <c r="K76" s="217">
        <f>SUM(K68:K75)</f>
        <v>5653</v>
      </c>
    </row>
    <row r="78" spans="1:22" x14ac:dyDescent="0.2">
      <c r="A78" s="70" t="s">
        <v>82</v>
      </c>
      <c r="K78" s="70">
        <v>1362</v>
      </c>
      <c r="L78" s="70" t="s">
        <v>118</v>
      </c>
    </row>
    <row r="79" spans="1:22" x14ac:dyDescent="0.2">
      <c r="A79" s="70" t="s">
        <v>111</v>
      </c>
      <c r="K79" s="217">
        <f>K78</f>
        <v>1362</v>
      </c>
      <c r="L79" s="70" t="s">
        <v>165</v>
      </c>
    </row>
    <row r="81" spans="1:13" ht="16.5" thickBot="1" x14ac:dyDescent="0.3">
      <c r="A81" s="110" t="s">
        <v>166</v>
      </c>
      <c r="K81" s="204">
        <f>K52+K60+K76+K79</f>
        <v>68428</v>
      </c>
    </row>
    <row r="82" spans="1:13" ht="15.75" thickTop="1" x14ac:dyDescent="0.2"/>
    <row r="83" spans="1:13" ht="15.75" x14ac:dyDescent="0.25">
      <c r="A83" s="110" t="s">
        <v>119</v>
      </c>
    </row>
    <row r="84" spans="1:13" x14ac:dyDescent="0.2">
      <c r="A84" s="70" t="s">
        <v>120</v>
      </c>
      <c r="K84" s="70">
        <v>71490</v>
      </c>
    </row>
    <row r="85" spans="1:13" x14ac:dyDescent="0.2">
      <c r="A85" s="70" t="s">
        <v>121</v>
      </c>
      <c r="K85" s="70">
        <v>1606</v>
      </c>
    </row>
    <row r="86" spans="1:13" x14ac:dyDescent="0.2">
      <c r="A86" s="70" t="s">
        <v>122</v>
      </c>
      <c r="K86" s="203">
        <f>-6584+1756+160</f>
        <v>-4668</v>
      </c>
      <c r="M86" s="202"/>
    </row>
    <row r="87" spans="1:13" ht="16.5" thickBot="1" x14ac:dyDescent="0.3">
      <c r="K87" s="205">
        <f>SUM(K84:K86)</f>
        <v>68428</v>
      </c>
    </row>
    <row r="88" spans="1:13" thickTop="1" x14ac:dyDescent="0.2">
      <c r="A88" s="2"/>
      <c r="G88" s="2"/>
      <c r="H88" s="2"/>
      <c r="I88" s="2"/>
      <c r="J88" s="2"/>
      <c r="K88" s="2"/>
      <c r="L88" s="2"/>
    </row>
    <row r="93" spans="1:13" ht="14.25" x14ac:dyDescent="0.2">
      <c r="A93" s="2"/>
      <c r="G93" s="2"/>
      <c r="H93" s="2"/>
      <c r="I93" s="2"/>
      <c r="J93" s="2"/>
      <c r="K93" s="2"/>
      <c r="L93" s="2"/>
    </row>
    <row r="94" spans="1:13" ht="14.25" x14ac:dyDescent="0.2">
      <c r="A94" s="2"/>
      <c r="G94" s="2"/>
      <c r="H94" s="2"/>
      <c r="I94" s="2"/>
      <c r="J94" s="2"/>
      <c r="K94" s="2"/>
      <c r="L94" s="2"/>
    </row>
    <row r="95" spans="1:13" ht="14.25" x14ac:dyDescent="0.2">
      <c r="A95" s="2"/>
      <c r="G95" s="2"/>
      <c r="H95" s="2"/>
      <c r="I95" s="2"/>
      <c r="J95" s="2"/>
      <c r="K95" s="2"/>
      <c r="L95" s="2"/>
    </row>
    <row r="96" spans="1:13" ht="14.25" x14ac:dyDescent="0.2">
      <c r="A96" s="2"/>
      <c r="G96" s="2"/>
      <c r="H96" s="2"/>
      <c r="I96" s="2"/>
      <c r="J96" s="2"/>
      <c r="K96" s="2"/>
      <c r="L96" s="2"/>
    </row>
  </sheetData>
  <pageMargins left="0.23622047244094491" right="0.23622047244094491" top="0.62992125984251968" bottom="0.51181102362204722" header="0.15748031496062992" footer="0.31496062992125984"/>
  <pageSetup paperSize="9" scale="93" fitToHeight="2" orientation="portrait" r:id="rId1"/>
  <headerFooter>
    <oddHeader>Page &amp;P&amp;RSt Paul's Budget 2019 DRAFT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topLeftCell="A22" workbookViewId="0">
      <selection activeCell="J33" sqref="J33"/>
    </sheetView>
  </sheetViews>
  <sheetFormatPr defaultRowHeight="15.75" x14ac:dyDescent="0.25"/>
  <cols>
    <col min="1" max="1" width="30.140625" style="70" bestFit="1" customWidth="1"/>
    <col min="2" max="7" width="16.42578125" style="70" customWidth="1"/>
    <col min="8" max="8" width="12.28515625" style="70" customWidth="1"/>
  </cols>
  <sheetData>
    <row r="1" spans="1:10" x14ac:dyDescent="0.25">
      <c r="A1" s="57"/>
    </row>
    <row r="2" spans="1:10" x14ac:dyDescent="0.25">
      <c r="A2" s="100" t="s">
        <v>19</v>
      </c>
      <c r="B2" s="90" t="s">
        <v>162</v>
      </c>
      <c r="C2" s="90" t="s">
        <v>53</v>
      </c>
      <c r="D2" s="90" t="s">
        <v>54</v>
      </c>
      <c r="E2" s="90" t="s">
        <v>55</v>
      </c>
      <c r="F2" s="90" t="s">
        <v>56</v>
      </c>
      <c r="G2" s="90" t="s">
        <v>57</v>
      </c>
      <c r="H2" s="90" t="s">
        <v>58</v>
      </c>
      <c r="I2" s="111" t="s">
        <v>54</v>
      </c>
      <c r="J2" s="111" t="s">
        <v>55</v>
      </c>
    </row>
    <row r="3" spans="1:10" x14ac:dyDescent="0.25">
      <c r="A3" s="58" t="s">
        <v>0</v>
      </c>
      <c r="B3" s="70">
        <v>1600</v>
      </c>
      <c r="C3" s="70">
        <f>B3</f>
        <v>1600</v>
      </c>
      <c r="G3" s="70">
        <f>SUM(C3:F3)</f>
        <v>1600</v>
      </c>
      <c r="H3" s="70">
        <f>G3-B3</f>
        <v>0</v>
      </c>
      <c r="I3" s="112">
        <f>C3+D3</f>
        <v>1600</v>
      </c>
      <c r="J3" s="112">
        <f>SUM(C3:E3)</f>
        <v>1600</v>
      </c>
    </row>
    <row r="4" spans="1:10" x14ac:dyDescent="0.25">
      <c r="A4" s="58" t="s">
        <v>1</v>
      </c>
      <c r="B4" s="70">
        <f>6250-1550</f>
        <v>4700</v>
      </c>
      <c r="C4" s="70">
        <v>2000</v>
      </c>
      <c r="D4" s="70">
        <v>500</v>
      </c>
      <c r="E4" s="70">
        <v>500</v>
      </c>
      <c r="F4" s="70">
        <v>1700</v>
      </c>
      <c r="G4" s="70">
        <f t="shared" ref="G4:G9" si="0">SUM(C4:F4)</f>
        <v>4700</v>
      </c>
      <c r="H4" s="70">
        <f t="shared" ref="H4:H9" si="1">G4-B4</f>
        <v>0</v>
      </c>
      <c r="I4" s="112">
        <f t="shared" ref="I4:I57" si="2">C4+D4</f>
        <v>2500</v>
      </c>
      <c r="J4" s="112">
        <f>SUM(C4:E4)</f>
        <v>3000</v>
      </c>
    </row>
    <row r="5" spans="1:10" x14ac:dyDescent="0.25">
      <c r="A5" s="58" t="s">
        <v>2</v>
      </c>
      <c r="B5" s="70">
        <f>600</f>
        <v>600</v>
      </c>
      <c r="C5" s="70">
        <v>150</v>
      </c>
      <c r="D5" s="70">
        <v>150</v>
      </c>
      <c r="E5" s="70">
        <v>150</v>
      </c>
      <c r="F5" s="70">
        <v>150</v>
      </c>
      <c r="G5" s="70">
        <f t="shared" si="0"/>
        <v>600</v>
      </c>
      <c r="H5" s="70">
        <f t="shared" si="1"/>
        <v>0</v>
      </c>
      <c r="I5" s="112">
        <f t="shared" si="2"/>
        <v>300</v>
      </c>
      <c r="J5" s="112">
        <f t="shared" ref="J5:J57" si="3">SUM(C5:E5)</f>
        <v>450</v>
      </c>
    </row>
    <row r="6" spans="1:10" x14ac:dyDescent="0.25">
      <c r="A6" s="58" t="s">
        <v>3</v>
      </c>
      <c r="B6" s="70">
        <v>4000</v>
      </c>
      <c r="C6" s="70">
        <f>B6/4-400</f>
        <v>600</v>
      </c>
      <c r="D6" s="70">
        <f>C6+400</f>
        <v>1000</v>
      </c>
      <c r="E6" s="70">
        <f t="shared" ref="E6:F16" si="4">D6</f>
        <v>1000</v>
      </c>
      <c r="F6" s="70">
        <f>E6+400</f>
        <v>1400</v>
      </c>
      <c r="G6" s="70">
        <f t="shared" si="0"/>
        <v>4000</v>
      </c>
      <c r="H6" s="70">
        <f t="shared" si="1"/>
        <v>0</v>
      </c>
      <c r="I6" s="112">
        <f t="shared" si="2"/>
        <v>1600</v>
      </c>
      <c r="J6" s="112">
        <f>SUM(C6:E6)</f>
        <v>2600</v>
      </c>
    </row>
    <row r="7" spans="1:10" x14ac:dyDescent="0.25">
      <c r="A7" s="58" t="s">
        <v>4</v>
      </c>
      <c r="B7" s="70">
        <v>450</v>
      </c>
      <c r="C7" s="70">
        <v>200</v>
      </c>
      <c r="D7" s="70">
        <v>0</v>
      </c>
      <c r="E7" s="70">
        <v>0</v>
      </c>
      <c r="F7" s="70">
        <v>250</v>
      </c>
      <c r="G7" s="70">
        <f t="shared" si="0"/>
        <v>450</v>
      </c>
      <c r="H7" s="70">
        <f t="shared" si="1"/>
        <v>0</v>
      </c>
      <c r="I7" s="112">
        <f t="shared" si="2"/>
        <v>200</v>
      </c>
      <c r="J7" s="112">
        <f t="shared" si="3"/>
        <v>200</v>
      </c>
    </row>
    <row r="8" spans="1:10" x14ac:dyDescent="0.25">
      <c r="A8" s="58" t="s">
        <v>5</v>
      </c>
      <c r="G8" s="70">
        <f t="shared" si="0"/>
        <v>0</v>
      </c>
      <c r="H8" s="70">
        <f t="shared" si="1"/>
        <v>0</v>
      </c>
      <c r="I8" s="112">
        <f t="shared" si="2"/>
        <v>0</v>
      </c>
      <c r="J8" s="112">
        <f t="shared" si="3"/>
        <v>0</v>
      </c>
    </row>
    <row r="9" spans="1:10" x14ac:dyDescent="0.25">
      <c r="A9" s="59" t="s">
        <v>6</v>
      </c>
      <c r="B9" s="70">
        <f>4200-983-250</f>
        <v>2967</v>
      </c>
      <c r="C9" s="70">
        <v>1238</v>
      </c>
      <c r="D9" s="70">
        <v>250</v>
      </c>
      <c r="E9" s="70">
        <v>491</v>
      </c>
      <c r="F9" s="70">
        <v>988</v>
      </c>
      <c r="G9" s="70">
        <f t="shared" si="0"/>
        <v>2967</v>
      </c>
      <c r="H9" s="70">
        <f t="shared" si="1"/>
        <v>0</v>
      </c>
      <c r="I9" s="112">
        <f t="shared" si="2"/>
        <v>1488</v>
      </c>
      <c r="J9" s="112">
        <f t="shared" si="3"/>
        <v>1979</v>
      </c>
    </row>
    <row r="10" spans="1:10" ht="16.5" thickBot="1" x14ac:dyDescent="0.3">
      <c r="A10" s="60" t="s">
        <v>7</v>
      </c>
      <c r="B10" s="89">
        <f>SUM(B3:B9)</f>
        <v>14317</v>
      </c>
      <c r="C10" s="89">
        <f t="shared" ref="C10:H10" si="5">SUM(C3:C9)</f>
        <v>5788</v>
      </c>
      <c r="D10" s="89">
        <f t="shared" si="5"/>
        <v>1900</v>
      </c>
      <c r="E10" s="89">
        <f t="shared" si="5"/>
        <v>2141</v>
      </c>
      <c r="F10" s="89">
        <f t="shared" si="5"/>
        <v>4488</v>
      </c>
      <c r="G10" s="89">
        <f t="shared" si="5"/>
        <v>14317</v>
      </c>
      <c r="H10" s="89">
        <f t="shared" si="5"/>
        <v>0</v>
      </c>
      <c r="I10" s="112">
        <f t="shared" si="2"/>
        <v>7688</v>
      </c>
      <c r="J10" s="112">
        <f t="shared" si="3"/>
        <v>9829</v>
      </c>
    </row>
    <row r="11" spans="1:10" ht="16.5" thickTop="1" x14ac:dyDescent="0.25">
      <c r="A11" s="58" t="s">
        <v>42</v>
      </c>
      <c r="B11" s="70">
        <f>1800-300</f>
        <v>1500</v>
      </c>
      <c r="C11" s="70">
        <v>919</v>
      </c>
      <c r="D11" s="70">
        <v>294</v>
      </c>
      <c r="E11" s="70">
        <v>0</v>
      </c>
      <c r="F11" s="70">
        <v>287</v>
      </c>
      <c r="G11" s="70">
        <f t="shared" ref="G11:G13" si="6">SUM(C11:F11)</f>
        <v>1500</v>
      </c>
      <c r="H11" s="70">
        <f t="shared" ref="H11:H14" si="7">G11-B11</f>
        <v>0</v>
      </c>
      <c r="I11" s="112">
        <f t="shared" si="2"/>
        <v>1213</v>
      </c>
      <c r="J11" s="112">
        <f t="shared" si="3"/>
        <v>1213</v>
      </c>
    </row>
    <row r="12" spans="1:10" x14ac:dyDescent="0.25">
      <c r="A12" s="58" t="s">
        <v>8</v>
      </c>
      <c r="C12" s="70">
        <f>B12/4</f>
        <v>0</v>
      </c>
      <c r="D12" s="70">
        <f>C12</f>
        <v>0</v>
      </c>
      <c r="E12" s="70">
        <f t="shared" si="4"/>
        <v>0</v>
      </c>
      <c r="F12" s="70">
        <f t="shared" si="4"/>
        <v>0</v>
      </c>
      <c r="G12" s="70">
        <f t="shared" si="6"/>
        <v>0</v>
      </c>
      <c r="H12" s="70">
        <f t="shared" si="7"/>
        <v>0</v>
      </c>
      <c r="I12" s="112">
        <f t="shared" si="2"/>
        <v>0</v>
      </c>
      <c r="J12" s="112">
        <f t="shared" si="3"/>
        <v>0</v>
      </c>
    </row>
    <row r="13" spans="1:10" x14ac:dyDescent="0.25">
      <c r="A13" s="58" t="s">
        <v>9</v>
      </c>
      <c r="B13" s="70">
        <v>500</v>
      </c>
      <c r="C13" s="70">
        <f>B13/4</f>
        <v>125</v>
      </c>
      <c r="D13" s="70">
        <f>C13</f>
        <v>125</v>
      </c>
      <c r="E13" s="70">
        <f t="shared" si="4"/>
        <v>125</v>
      </c>
      <c r="F13" s="70">
        <f t="shared" si="4"/>
        <v>125</v>
      </c>
      <c r="G13" s="70">
        <f t="shared" si="6"/>
        <v>500</v>
      </c>
      <c r="H13" s="70">
        <f t="shared" si="7"/>
        <v>0</v>
      </c>
      <c r="I13" s="112">
        <f t="shared" si="2"/>
        <v>250</v>
      </c>
      <c r="J13" s="112">
        <f t="shared" si="3"/>
        <v>375</v>
      </c>
    </row>
    <row r="14" spans="1:10" x14ac:dyDescent="0.25">
      <c r="A14" s="58" t="s">
        <v>10</v>
      </c>
      <c r="B14" s="70">
        <v>250</v>
      </c>
      <c r="C14" s="70">
        <v>0</v>
      </c>
      <c r="D14" s="70">
        <v>0</v>
      </c>
      <c r="E14" s="70">
        <v>0</v>
      </c>
      <c r="G14" s="70">
        <v>250</v>
      </c>
      <c r="H14" s="70">
        <f t="shared" si="7"/>
        <v>0</v>
      </c>
      <c r="I14" s="112">
        <f t="shared" si="2"/>
        <v>0</v>
      </c>
      <c r="J14" s="112">
        <f t="shared" si="3"/>
        <v>0</v>
      </c>
    </row>
    <row r="15" spans="1:10" x14ac:dyDescent="0.25">
      <c r="A15" s="58" t="s">
        <v>11</v>
      </c>
      <c r="B15" s="70">
        <f>3300-500</f>
        <v>2800</v>
      </c>
      <c r="C15" s="70">
        <v>825</v>
      </c>
      <c r="D15" s="70">
        <v>600</v>
      </c>
      <c r="E15" s="70">
        <v>550</v>
      </c>
      <c r="F15" s="70">
        <v>825</v>
      </c>
      <c r="G15" s="70">
        <f t="shared" ref="G15:G16" si="8">SUM(C15:F15)</f>
        <v>2800</v>
      </c>
      <c r="H15" s="70">
        <f t="shared" ref="H15:H16" si="9">G15-B15</f>
        <v>0</v>
      </c>
      <c r="I15" s="112">
        <f>C15+D15</f>
        <v>1425</v>
      </c>
      <c r="J15" s="112">
        <f t="shared" si="3"/>
        <v>1975</v>
      </c>
    </row>
    <row r="16" spans="1:10" x14ac:dyDescent="0.25">
      <c r="A16" s="58" t="s">
        <v>50</v>
      </c>
      <c r="C16" s="70">
        <f>B16/4</f>
        <v>0</v>
      </c>
      <c r="D16" s="70">
        <f>C16</f>
        <v>0</v>
      </c>
      <c r="E16" s="70">
        <f t="shared" si="4"/>
        <v>0</v>
      </c>
      <c r="F16" s="70">
        <f t="shared" si="4"/>
        <v>0</v>
      </c>
      <c r="G16" s="70">
        <f t="shared" si="8"/>
        <v>0</v>
      </c>
      <c r="H16" s="70">
        <f t="shared" si="9"/>
        <v>0</v>
      </c>
      <c r="I16" s="112">
        <f t="shared" si="2"/>
        <v>0</v>
      </c>
      <c r="J16" s="112">
        <f t="shared" si="3"/>
        <v>0</v>
      </c>
    </row>
    <row r="17" spans="1:10" x14ac:dyDescent="0.25">
      <c r="A17" s="59" t="s">
        <v>48</v>
      </c>
      <c r="B17" s="70">
        <v>375</v>
      </c>
      <c r="C17" s="70">
        <v>200</v>
      </c>
      <c r="D17" s="70">
        <v>60</v>
      </c>
      <c r="E17" s="70">
        <v>55</v>
      </c>
      <c r="F17" s="70">
        <v>60</v>
      </c>
      <c r="G17" s="70">
        <f t="shared" ref="G17" si="10">SUM(C17:F17)</f>
        <v>375</v>
      </c>
      <c r="H17" s="70">
        <f t="shared" ref="H17" si="11">G17-B17</f>
        <v>0</v>
      </c>
      <c r="I17" s="112">
        <f t="shared" si="2"/>
        <v>260</v>
      </c>
      <c r="J17" s="112">
        <f t="shared" si="3"/>
        <v>315</v>
      </c>
    </row>
    <row r="18" spans="1:10" ht="16.5" thickBot="1" x14ac:dyDescent="0.3">
      <c r="A18" s="60" t="s">
        <v>12</v>
      </c>
      <c r="B18" s="89">
        <f>SUM(B11:B17)</f>
        <v>5425</v>
      </c>
      <c r="C18" s="89">
        <f t="shared" ref="C18:H18" si="12">SUM(C11:C17)</f>
        <v>2069</v>
      </c>
      <c r="D18" s="89">
        <f t="shared" si="12"/>
        <v>1079</v>
      </c>
      <c r="E18" s="89">
        <f t="shared" si="12"/>
        <v>730</v>
      </c>
      <c r="F18" s="89">
        <f t="shared" si="12"/>
        <v>1297</v>
      </c>
      <c r="G18" s="89">
        <f t="shared" si="12"/>
        <v>5425</v>
      </c>
      <c r="H18" s="89">
        <f t="shared" si="12"/>
        <v>0</v>
      </c>
      <c r="I18" s="112">
        <f t="shared" si="2"/>
        <v>3148</v>
      </c>
      <c r="J18" s="112">
        <f t="shared" si="3"/>
        <v>3878</v>
      </c>
    </row>
    <row r="19" spans="1:10" ht="16.5" thickTop="1" x14ac:dyDescent="0.25">
      <c r="A19" s="58" t="s">
        <v>13</v>
      </c>
      <c r="B19" s="71">
        <v>2000</v>
      </c>
      <c r="C19" s="70">
        <f>B19/4-225</f>
        <v>275</v>
      </c>
      <c r="D19" s="70">
        <f>C19</f>
        <v>275</v>
      </c>
      <c r="E19" s="70">
        <f>D19+450</f>
        <v>725</v>
      </c>
      <c r="F19" s="70">
        <f t="shared" ref="E19:F22" si="13">E19</f>
        <v>725</v>
      </c>
      <c r="G19" s="70">
        <f t="shared" ref="G19:G22" si="14">SUM(C19:F19)</f>
        <v>2000</v>
      </c>
      <c r="H19" s="70">
        <f t="shared" ref="H19:H22" si="15">G19-B19</f>
        <v>0</v>
      </c>
      <c r="I19" s="112">
        <f t="shared" si="2"/>
        <v>550</v>
      </c>
      <c r="J19" s="112">
        <f t="shared" si="3"/>
        <v>1275</v>
      </c>
    </row>
    <row r="20" spans="1:10" x14ac:dyDescent="0.25">
      <c r="A20" s="58" t="s">
        <v>17</v>
      </c>
      <c r="B20" s="71">
        <f>1000-300</f>
        <v>700</v>
      </c>
      <c r="C20" s="70">
        <v>250</v>
      </c>
      <c r="D20" s="70">
        <v>50</v>
      </c>
      <c r="E20" s="70">
        <v>150</v>
      </c>
      <c r="F20" s="70">
        <v>250</v>
      </c>
      <c r="G20" s="70">
        <f t="shared" si="14"/>
        <v>700</v>
      </c>
      <c r="H20" s="70">
        <f t="shared" si="15"/>
        <v>0</v>
      </c>
      <c r="I20" s="112">
        <f t="shared" si="2"/>
        <v>300</v>
      </c>
      <c r="J20" s="112">
        <f t="shared" si="3"/>
        <v>450</v>
      </c>
    </row>
    <row r="21" spans="1:10" x14ac:dyDescent="0.25">
      <c r="A21" s="58" t="s">
        <v>33</v>
      </c>
      <c r="B21" s="71">
        <v>1000</v>
      </c>
      <c r="C21" s="70">
        <f>B21/4</f>
        <v>250</v>
      </c>
      <c r="D21" s="70">
        <f>C21</f>
        <v>250</v>
      </c>
      <c r="E21" s="70">
        <f t="shared" si="13"/>
        <v>250</v>
      </c>
      <c r="F21" s="70">
        <f t="shared" si="13"/>
        <v>250</v>
      </c>
      <c r="G21" s="70">
        <f t="shared" si="14"/>
        <v>1000</v>
      </c>
      <c r="H21" s="70">
        <f t="shared" si="15"/>
        <v>0</v>
      </c>
      <c r="I21" s="112">
        <f t="shared" si="2"/>
        <v>500</v>
      </c>
      <c r="J21" s="112">
        <f t="shared" si="3"/>
        <v>750</v>
      </c>
    </row>
    <row r="22" spans="1:10" x14ac:dyDescent="0.25">
      <c r="A22" s="61" t="s">
        <v>14</v>
      </c>
      <c r="B22" s="276">
        <v>68940</v>
      </c>
      <c r="C22" s="85">
        <f>B22/4</f>
        <v>17235</v>
      </c>
      <c r="D22" s="85">
        <f>C22</f>
        <v>17235</v>
      </c>
      <c r="E22" s="85">
        <f t="shared" si="13"/>
        <v>17235</v>
      </c>
      <c r="F22" s="85">
        <f t="shared" si="13"/>
        <v>17235</v>
      </c>
      <c r="G22" s="85">
        <f t="shared" si="14"/>
        <v>68940</v>
      </c>
      <c r="H22" s="85">
        <f t="shared" si="15"/>
        <v>0</v>
      </c>
      <c r="I22" s="112">
        <f t="shared" si="2"/>
        <v>34470</v>
      </c>
      <c r="J22" s="112">
        <f t="shared" si="3"/>
        <v>51705</v>
      </c>
    </row>
    <row r="23" spans="1:10" x14ac:dyDescent="0.25">
      <c r="A23" s="63" t="s">
        <v>35</v>
      </c>
      <c r="B23" s="58">
        <v>750</v>
      </c>
      <c r="C23" s="71"/>
      <c r="D23" s="71">
        <v>0</v>
      </c>
      <c r="E23" s="71">
        <v>375</v>
      </c>
      <c r="F23" s="71">
        <f>$B$23/2</f>
        <v>375</v>
      </c>
      <c r="G23" s="71">
        <f t="shared" ref="G23:G24" si="16">SUM(C23:F23)</f>
        <v>750</v>
      </c>
      <c r="H23" s="71">
        <f t="shared" ref="H23:H24" si="17">G23-B23</f>
        <v>0</v>
      </c>
      <c r="I23" s="112">
        <f t="shared" si="2"/>
        <v>0</v>
      </c>
      <c r="J23" s="112">
        <f t="shared" si="3"/>
        <v>375</v>
      </c>
    </row>
    <row r="24" spans="1:10" x14ac:dyDescent="0.25">
      <c r="A24" s="58" t="s">
        <v>36</v>
      </c>
      <c r="B24" s="58">
        <v>175</v>
      </c>
      <c r="C24" s="71">
        <f t="shared" ref="C24" si="18">B24/4</f>
        <v>43.75</v>
      </c>
      <c r="D24" s="71">
        <f t="shared" ref="D24:F24" si="19">C24</f>
        <v>43.75</v>
      </c>
      <c r="E24" s="71">
        <f t="shared" si="19"/>
        <v>43.75</v>
      </c>
      <c r="F24" s="71">
        <f t="shared" si="19"/>
        <v>43.75</v>
      </c>
      <c r="G24" s="71">
        <f t="shared" si="16"/>
        <v>175</v>
      </c>
      <c r="H24" s="71">
        <f t="shared" si="17"/>
        <v>0</v>
      </c>
      <c r="I24" s="112">
        <f t="shared" si="2"/>
        <v>87.5</v>
      </c>
      <c r="J24" s="112">
        <f t="shared" si="3"/>
        <v>131.25</v>
      </c>
    </row>
    <row r="25" spans="1:10" x14ac:dyDescent="0.25">
      <c r="A25" s="58" t="s">
        <v>73</v>
      </c>
      <c r="B25" s="277">
        <v>4300</v>
      </c>
      <c r="C25" s="53"/>
      <c r="D25" s="53"/>
      <c r="E25" s="53"/>
      <c r="F25" s="53">
        <f>B25</f>
        <v>4300</v>
      </c>
      <c r="G25" s="71">
        <f t="shared" ref="G25" si="20">SUM(C25:F25)</f>
        <v>4300</v>
      </c>
      <c r="H25" s="71">
        <f t="shared" ref="H25:H26" si="21">G25-B25</f>
        <v>0</v>
      </c>
      <c r="I25" s="112">
        <f t="shared" si="2"/>
        <v>0</v>
      </c>
      <c r="J25" s="112">
        <f t="shared" si="3"/>
        <v>0</v>
      </c>
    </row>
    <row r="26" spans="1:10" x14ac:dyDescent="0.25">
      <c r="A26" s="201" t="s">
        <v>97</v>
      </c>
      <c r="B26" s="71">
        <v>113</v>
      </c>
      <c r="C26" s="71">
        <f>B26/4</f>
        <v>28.25</v>
      </c>
      <c r="D26" s="71">
        <f>C26</f>
        <v>28.25</v>
      </c>
      <c r="E26" s="71">
        <f>D26</f>
        <v>28.25</v>
      </c>
      <c r="F26" s="71">
        <f>E26</f>
        <v>28.25</v>
      </c>
      <c r="G26" s="71">
        <f>C26+D26+E26+F26</f>
        <v>113</v>
      </c>
      <c r="H26" s="71">
        <f t="shared" si="21"/>
        <v>0</v>
      </c>
      <c r="I26" s="112">
        <f t="shared" si="2"/>
        <v>56.5</v>
      </c>
      <c r="J26" s="112">
        <f t="shared" si="3"/>
        <v>84.75</v>
      </c>
    </row>
    <row r="27" spans="1:10" x14ac:dyDescent="0.25">
      <c r="A27" s="64" t="s">
        <v>41</v>
      </c>
      <c r="B27" s="71"/>
      <c r="C27" s="71"/>
      <c r="D27" s="71"/>
      <c r="E27" s="71"/>
      <c r="F27" s="71"/>
      <c r="G27" s="71"/>
      <c r="H27" s="71"/>
      <c r="I27" s="112"/>
      <c r="J27" s="112"/>
    </row>
    <row r="28" spans="1:10" x14ac:dyDescent="0.25">
      <c r="A28" s="65" t="s">
        <v>40</v>
      </c>
      <c r="B28" s="71">
        <v>5000</v>
      </c>
      <c r="C28" s="71">
        <f>B28/4</f>
        <v>1250</v>
      </c>
      <c r="D28" s="71">
        <f>C28</f>
        <v>1250</v>
      </c>
      <c r="E28" s="71">
        <f>D28</f>
        <v>1250</v>
      </c>
      <c r="F28" s="71">
        <f>E28</f>
        <v>1250</v>
      </c>
      <c r="G28" s="71">
        <f>C28+D28+E28+F28</f>
        <v>5000</v>
      </c>
      <c r="H28" s="71"/>
      <c r="I28" s="112">
        <f t="shared" si="2"/>
        <v>2500</v>
      </c>
      <c r="J28" s="112">
        <f t="shared" si="3"/>
        <v>3750</v>
      </c>
    </row>
    <row r="29" spans="1:10" x14ac:dyDescent="0.25">
      <c r="A29" s="66" t="s">
        <v>52</v>
      </c>
      <c r="I29" s="112">
        <f t="shared" si="2"/>
        <v>0</v>
      </c>
      <c r="J29" s="112">
        <f t="shared" si="3"/>
        <v>0</v>
      </c>
    </row>
    <row r="30" spans="1:10" ht="18.75" thickBot="1" x14ac:dyDescent="0.3">
      <c r="A30" s="67" t="s">
        <v>18</v>
      </c>
      <c r="B30" s="51">
        <f t="shared" ref="B30:H30" si="22">SUM(B19:B29)+B10+B18</f>
        <v>102720</v>
      </c>
      <c r="C30" s="51">
        <f t="shared" si="22"/>
        <v>27189</v>
      </c>
      <c r="D30" s="51">
        <f t="shared" si="22"/>
        <v>22111</v>
      </c>
      <c r="E30" s="51">
        <f t="shared" si="22"/>
        <v>22928</v>
      </c>
      <c r="F30" s="51">
        <f t="shared" si="22"/>
        <v>30242</v>
      </c>
      <c r="G30" s="51">
        <f t="shared" si="22"/>
        <v>102720</v>
      </c>
      <c r="H30" s="51">
        <f t="shared" si="22"/>
        <v>0</v>
      </c>
      <c r="I30" s="112">
        <f t="shared" si="2"/>
        <v>49300</v>
      </c>
      <c r="J30" s="112">
        <f t="shared" si="3"/>
        <v>72228</v>
      </c>
    </row>
    <row r="31" spans="1:10" ht="16.5" thickTop="1" x14ac:dyDescent="0.25">
      <c r="A31" s="68"/>
      <c r="B31" s="71"/>
      <c r="C31" s="71"/>
      <c r="D31" s="71"/>
      <c r="E31" s="71"/>
      <c r="F31" s="71"/>
      <c r="G31" s="71"/>
      <c r="H31" s="71"/>
      <c r="I31" s="112">
        <f>C31+D31</f>
        <v>0</v>
      </c>
      <c r="J31" s="112">
        <f t="shared" si="3"/>
        <v>0</v>
      </c>
    </row>
    <row r="32" spans="1:10" x14ac:dyDescent="0.25">
      <c r="A32" s="69" t="s">
        <v>20</v>
      </c>
      <c r="B32" s="91" t="s">
        <v>177</v>
      </c>
      <c r="C32" s="91"/>
      <c r="D32" s="91"/>
      <c r="E32" s="91"/>
      <c r="F32" s="91"/>
      <c r="G32" s="91"/>
      <c r="H32" s="91"/>
      <c r="I32" s="112">
        <f t="shared" si="2"/>
        <v>0</v>
      </c>
      <c r="J32" s="112">
        <f t="shared" si="3"/>
        <v>0</v>
      </c>
    </row>
    <row r="33" spans="1:10" x14ac:dyDescent="0.25">
      <c r="A33" s="70" t="s">
        <v>21</v>
      </c>
      <c r="B33" s="43">
        <v>57000</v>
      </c>
      <c r="C33" s="43">
        <f t="shared" ref="C33:C35" si="23">B33/4</f>
        <v>14250</v>
      </c>
      <c r="D33" s="43">
        <f t="shared" ref="D33:F33" si="24">C33</f>
        <v>14250</v>
      </c>
      <c r="E33" s="43">
        <f t="shared" si="24"/>
        <v>14250</v>
      </c>
      <c r="F33" s="43">
        <f t="shared" si="24"/>
        <v>14250</v>
      </c>
      <c r="G33" s="43">
        <f t="shared" ref="G33:G34" si="25">SUM(C33:F33)</f>
        <v>57000</v>
      </c>
      <c r="H33" s="43">
        <f t="shared" ref="H33:H34" si="26">G33-B33</f>
        <v>0</v>
      </c>
      <c r="I33" s="112">
        <f>C33+D33</f>
        <v>28500</v>
      </c>
      <c r="J33" s="112">
        <f t="shared" si="3"/>
        <v>42750</v>
      </c>
    </row>
    <row r="34" spans="1:10" x14ac:dyDescent="0.25">
      <c r="A34" s="70" t="s">
        <v>22</v>
      </c>
      <c r="B34" s="43">
        <f>2500-1000</f>
        <v>1500</v>
      </c>
      <c r="C34" s="43">
        <v>625</v>
      </c>
      <c r="D34" s="43">
        <v>0</v>
      </c>
      <c r="E34" s="43">
        <v>250</v>
      </c>
      <c r="F34" s="43">
        <v>625</v>
      </c>
      <c r="G34" s="43">
        <f t="shared" si="25"/>
        <v>1500</v>
      </c>
      <c r="H34" s="43">
        <f t="shared" si="26"/>
        <v>0</v>
      </c>
      <c r="I34" s="112">
        <f t="shared" si="2"/>
        <v>625</v>
      </c>
      <c r="J34" s="112">
        <f t="shared" si="3"/>
        <v>875</v>
      </c>
    </row>
    <row r="35" spans="1:10" x14ac:dyDescent="0.25">
      <c r="A35" s="71" t="s">
        <v>27</v>
      </c>
      <c r="B35" s="43">
        <v>13000</v>
      </c>
      <c r="C35" s="43">
        <f t="shared" si="23"/>
        <v>3250</v>
      </c>
      <c r="D35" s="43">
        <f t="shared" ref="D35:F35" si="27">C35</f>
        <v>3250</v>
      </c>
      <c r="E35" s="43">
        <f t="shared" si="27"/>
        <v>3250</v>
      </c>
      <c r="F35" s="43">
        <f t="shared" si="27"/>
        <v>3250</v>
      </c>
      <c r="G35" s="43">
        <f t="shared" ref="G35" si="28">SUM(C35:F35)</f>
        <v>13000</v>
      </c>
      <c r="H35" s="43">
        <f t="shared" ref="H35" si="29">G35-B35</f>
        <v>0</v>
      </c>
      <c r="I35" s="112">
        <f t="shared" si="2"/>
        <v>6500</v>
      </c>
      <c r="J35" s="112">
        <f t="shared" si="3"/>
        <v>9750</v>
      </c>
    </row>
    <row r="36" spans="1:10" x14ac:dyDescent="0.25">
      <c r="A36" s="58" t="s">
        <v>37</v>
      </c>
      <c r="B36" s="87"/>
      <c r="C36" s="87"/>
      <c r="D36" s="87"/>
      <c r="E36" s="87"/>
      <c r="F36" s="87"/>
      <c r="G36" s="87"/>
      <c r="H36" s="87"/>
      <c r="I36" s="112">
        <f t="shared" si="2"/>
        <v>0</v>
      </c>
      <c r="J36" s="112">
        <f t="shared" si="3"/>
        <v>0</v>
      </c>
    </row>
    <row r="37" spans="1:10" x14ac:dyDescent="0.25">
      <c r="A37" s="72" t="s">
        <v>23</v>
      </c>
      <c r="B37" s="54">
        <f t="shared" ref="B37:H37" si="30">SUM(B33:B36)</f>
        <v>71500</v>
      </c>
      <c r="C37" s="54">
        <f t="shared" si="30"/>
        <v>18125</v>
      </c>
      <c r="D37" s="54">
        <f t="shared" si="30"/>
        <v>17500</v>
      </c>
      <c r="E37" s="54">
        <f t="shared" si="30"/>
        <v>17750</v>
      </c>
      <c r="F37" s="54">
        <f t="shared" si="30"/>
        <v>18125</v>
      </c>
      <c r="G37" s="54">
        <f t="shared" si="30"/>
        <v>71500</v>
      </c>
      <c r="H37" s="54">
        <f t="shared" si="30"/>
        <v>0</v>
      </c>
      <c r="I37" s="112">
        <f t="shared" si="2"/>
        <v>35625</v>
      </c>
      <c r="J37" s="112">
        <f t="shared" si="3"/>
        <v>53375</v>
      </c>
    </row>
    <row r="38" spans="1:10" x14ac:dyDescent="0.25">
      <c r="A38" s="70" t="s">
        <v>24</v>
      </c>
      <c r="B38" s="43">
        <f>1200-300</f>
        <v>900</v>
      </c>
      <c r="C38" s="43">
        <v>300</v>
      </c>
      <c r="D38" s="43">
        <v>0</v>
      </c>
      <c r="E38" s="43">
        <v>300</v>
      </c>
      <c r="F38" s="43">
        <f t="shared" ref="F38" si="31">E38</f>
        <v>300</v>
      </c>
      <c r="G38" s="43">
        <f t="shared" ref="G38:G42" si="32">SUM(C38:F38)</f>
        <v>900</v>
      </c>
      <c r="H38" s="43">
        <f t="shared" ref="H38:H44" si="33">G38-B38</f>
        <v>0</v>
      </c>
      <c r="I38" s="112">
        <f t="shared" si="2"/>
        <v>300</v>
      </c>
      <c r="J38" s="112">
        <f t="shared" si="3"/>
        <v>600</v>
      </c>
    </row>
    <row r="39" spans="1:10" x14ac:dyDescent="0.25">
      <c r="A39" s="70" t="s">
        <v>25</v>
      </c>
      <c r="B39" s="43">
        <f>28000-11250</f>
        <v>16750</v>
      </c>
      <c r="C39" s="43">
        <v>7000</v>
      </c>
      <c r="D39" s="43">
        <v>800</v>
      </c>
      <c r="E39" s="43">
        <v>2050</v>
      </c>
      <c r="F39" s="43">
        <f>C39</f>
        <v>7000</v>
      </c>
      <c r="G39" s="43">
        <f t="shared" si="32"/>
        <v>16850</v>
      </c>
      <c r="H39" s="43">
        <f t="shared" si="33"/>
        <v>100</v>
      </c>
      <c r="I39" s="112">
        <f t="shared" si="2"/>
        <v>7800</v>
      </c>
      <c r="J39" s="112">
        <f t="shared" si="3"/>
        <v>9850</v>
      </c>
    </row>
    <row r="40" spans="1:10" x14ac:dyDescent="0.25">
      <c r="A40" s="70" t="s">
        <v>26</v>
      </c>
      <c r="B40" s="180">
        <v>500</v>
      </c>
      <c r="C40" s="43">
        <f t="shared" ref="C40:C42" si="34">B40/4</f>
        <v>125</v>
      </c>
      <c r="D40" s="43">
        <f t="shared" ref="D40:F40" si="35">C40</f>
        <v>125</v>
      </c>
      <c r="E40" s="43">
        <f t="shared" si="35"/>
        <v>125</v>
      </c>
      <c r="F40" s="43">
        <f t="shared" si="35"/>
        <v>125</v>
      </c>
      <c r="G40" s="43">
        <f t="shared" si="32"/>
        <v>500</v>
      </c>
      <c r="H40" s="43">
        <f t="shared" si="33"/>
        <v>0</v>
      </c>
      <c r="I40" s="112">
        <f t="shared" si="2"/>
        <v>250</v>
      </c>
      <c r="J40" s="112">
        <f t="shared" si="3"/>
        <v>375</v>
      </c>
    </row>
    <row r="41" spans="1:10" x14ac:dyDescent="0.25">
      <c r="A41" s="70" t="s">
        <v>34</v>
      </c>
      <c r="B41" s="71">
        <v>200</v>
      </c>
      <c r="C41" s="58">
        <f t="shared" si="34"/>
        <v>50</v>
      </c>
      <c r="D41" s="58">
        <f t="shared" ref="D41:F41" si="36">C41</f>
        <v>50</v>
      </c>
      <c r="E41" s="58">
        <f t="shared" si="36"/>
        <v>50</v>
      </c>
      <c r="F41" s="58">
        <f t="shared" si="36"/>
        <v>50</v>
      </c>
      <c r="G41" s="58">
        <f t="shared" si="32"/>
        <v>200</v>
      </c>
      <c r="H41" s="58">
        <f t="shared" si="33"/>
        <v>0</v>
      </c>
      <c r="I41" s="112">
        <f t="shared" si="2"/>
        <v>100</v>
      </c>
      <c r="J41" s="112">
        <f t="shared" si="3"/>
        <v>150</v>
      </c>
    </row>
    <row r="42" spans="1:10" x14ac:dyDescent="0.25">
      <c r="A42" s="70" t="s">
        <v>28</v>
      </c>
      <c r="B42" s="71"/>
      <c r="C42" s="71">
        <f t="shared" si="34"/>
        <v>0</v>
      </c>
      <c r="D42" s="71">
        <f t="shared" ref="D42:F42" si="37">C42</f>
        <v>0</v>
      </c>
      <c r="E42" s="71">
        <f t="shared" si="37"/>
        <v>0</v>
      </c>
      <c r="F42" s="71">
        <f t="shared" si="37"/>
        <v>0</v>
      </c>
      <c r="G42" s="71">
        <f t="shared" si="32"/>
        <v>0</v>
      </c>
      <c r="H42" s="71">
        <f t="shared" si="33"/>
        <v>0</v>
      </c>
      <c r="I42" s="112">
        <f t="shared" si="2"/>
        <v>0</v>
      </c>
      <c r="J42" s="112">
        <f t="shared" si="3"/>
        <v>0</v>
      </c>
    </row>
    <row r="43" spans="1:10" ht="16.5" thickBot="1" x14ac:dyDescent="0.3">
      <c r="A43" s="73" t="s">
        <v>29</v>
      </c>
      <c r="B43" s="46">
        <f>SUM(B38:B42)+B37</f>
        <v>89850</v>
      </c>
      <c r="C43" s="46">
        <f t="shared" ref="C43:H43" si="38">SUM(C38:C42)+C37</f>
        <v>25600</v>
      </c>
      <c r="D43" s="46">
        <f t="shared" si="38"/>
        <v>18475</v>
      </c>
      <c r="E43" s="46">
        <f t="shared" si="38"/>
        <v>20275</v>
      </c>
      <c r="F43" s="46">
        <f t="shared" si="38"/>
        <v>25600</v>
      </c>
      <c r="G43" s="46">
        <f t="shared" si="38"/>
        <v>89950</v>
      </c>
      <c r="H43" s="46">
        <f t="shared" si="38"/>
        <v>100</v>
      </c>
      <c r="I43" s="112">
        <f t="shared" si="2"/>
        <v>44075</v>
      </c>
      <c r="J43" s="112">
        <f t="shared" si="3"/>
        <v>64350</v>
      </c>
    </row>
    <row r="44" spans="1:10" ht="16.5" thickTop="1" x14ac:dyDescent="0.25">
      <c r="A44" s="58" t="s">
        <v>51</v>
      </c>
      <c r="B44" s="71"/>
      <c r="C44" s="71"/>
      <c r="D44" s="71"/>
      <c r="E44" s="71"/>
      <c r="F44" s="71"/>
      <c r="G44" s="58">
        <f t="shared" ref="G44" si="39">SUM(C44:F44)</f>
        <v>0</v>
      </c>
      <c r="H44" s="43">
        <f t="shared" si="33"/>
        <v>0</v>
      </c>
      <c r="I44" s="112">
        <f t="shared" si="2"/>
        <v>0</v>
      </c>
      <c r="J44" s="112">
        <f t="shared" si="3"/>
        <v>0</v>
      </c>
    </row>
    <row r="45" spans="1:10" ht="16.5" thickBot="1" x14ac:dyDescent="0.3">
      <c r="A45" s="58" t="s">
        <v>38</v>
      </c>
      <c r="B45" s="71"/>
      <c r="C45" s="71"/>
      <c r="D45" s="71"/>
      <c r="E45" s="71"/>
      <c r="F45" s="71"/>
      <c r="G45" s="71"/>
      <c r="H45" s="71"/>
      <c r="I45" s="112">
        <f t="shared" si="2"/>
        <v>0</v>
      </c>
      <c r="J45" s="112">
        <f t="shared" si="3"/>
        <v>0</v>
      </c>
    </row>
    <row r="46" spans="1:10" ht="17.25" thickTop="1" thickBot="1" x14ac:dyDescent="0.3">
      <c r="A46" s="74" t="s">
        <v>49</v>
      </c>
      <c r="B46" s="47">
        <f>B43-B30+B44+B45</f>
        <v>-12870</v>
      </c>
      <c r="C46" s="47">
        <f t="shared" ref="C46:H46" si="40">C43-C30+C44+C45</f>
        <v>-1589</v>
      </c>
      <c r="D46" s="47">
        <f t="shared" si="40"/>
        <v>-3636</v>
      </c>
      <c r="E46" s="47">
        <f t="shared" si="40"/>
        <v>-2653</v>
      </c>
      <c r="F46" s="47">
        <f t="shared" si="40"/>
        <v>-4642</v>
      </c>
      <c r="G46" s="47">
        <f t="shared" si="40"/>
        <v>-12770</v>
      </c>
      <c r="H46" s="47">
        <f t="shared" si="40"/>
        <v>100</v>
      </c>
      <c r="I46" s="112">
        <f t="shared" si="2"/>
        <v>-5225</v>
      </c>
      <c r="J46" s="112">
        <f t="shared" si="3"/>
        <v>-7878</v>
      </c>
    </row>
    <row r="47" spans="1:10" ht="17.25" thickTop="1" thickBot="1" x14ac:dyDescent="0.3">
      <c r="B47" s="71"/>
      <c r="C47" s="71"/>
      <c r="D47" s="71"/>
      <c r="E47" s="71"/>
      <c r="F47" s="71"/>
      <c r="G47" s="71"/>
      <c r="H47" s="71"/>
      <c r="I47" s="112">
        <f t="shared" si="2"/>
        <v>0</v>
      </c>
      <c r="J47" s="112">
        <f t="shared" si="3"/>
        <v>0</v>
      </c>
    </row>
    <row r="48" spans="1:10" x14ac:dyDescent="0.25">
      <c r="A48" s="75" t="s">
        <v>30</v>
      </c>
      <c r="B48" s="92"/>
      <c r="C48" s="92"/>
      <c r="D48" s="92"/>
      <c r="E48" s="92"/>
      <c r="F48" s="92"/>
      <c r="G48" s="92"/>
      <c r="H48" s="92"/>
      <c r="I48" s="112">
        <f t="shared" si="2"/>
        <v>0</v>
      </c>
      <c r="J48" s="112">
        <f t="shared" si="3"/>
        <v>0</v>
      </c>
    </row>
    <row r="49" spans="1:10" ht="16.5" thickBot="1" x14ac:dyDescent="0.3">
      <c r="A49" s="76" t="s">
        <v>95</v>
      </c>
      <c r="B49" s="53">
        <v>14097</v>
      </c>
      <c r="C49" s="53">
        <f>B49</f>
        <v>14097</v>
      </c>
      <c r="D49" s="53">
        <f>C50</f>
        <v>12508</v>
      </c>
      <c r="E49" s="53">
        <f t="shared" ref="E49:F49" si="41">D50</f>
        <v>8872</v>
      </c>
      <c r="F49" s="53">
        <f t="shared" si="41"/>
        <v>6219</v>
      </c>
      <c r="G49" s="53">
        <f>B49</f>
        <v>14097</v>
      </c>
      <c r="H49" s="53"/>
      <c r="I49" s="112">
        <f>B49</f>
        <v>14097</v>
      </c>
      <c r="J49" s="112">
        <f>B49</f>
        <v>14097</v>
      </c>
    </row>
    <row r="50" spans="1:10" ht="19.5" thickTop="1" thickBot="1" x14ac:dyDescent="0.3">
      <c r="A50" s="77" t="s">
        <v>96</v>
      </c>
      <c r="B50" s="52">
        <f>SUM(B46:B49)</f>
        <v>1227</v>
      </c>
      <c r="C50" s="52">
        <f t="shared" ref="C50:G50" si="42">SUM(C46:C49)</f>
        <v>12508</v>
      </c>
      <c r="D50" s="52">
        <f t="shared" si="42"/>
        <v>8872</v>
      </c>
      <c r="E50" s="52">
        <f t="shared" si="42"/>
        <v>6219</v>
      </c>
      <c r="F50" s="52">
        <f t="shared" si="42"/>
        <v>1577</v>
      </c>
      <c r="G50" s="52">
        <f t="shared" si="42"/>
        <v>1327</v>
      </c>
      <c r="H50" s="52"/>
      <c r="I50" s="112">
        <f>D50</f>
        <v>8872</v>
      </c>
      <c r="J50" s="112">
        <f>E50</f>
        <v>6219</v>
      </c>
    </row>
    <row r="51" spans="1:10" ht="18" x14ac:dyDescent="0.25">
      <c r="A51" s="198"/>
      <c r="B51" s="199"/>
      <c r="C51" s="199"/>
      <c r="D51" s="199"/>
      <c r="E51" s="199"/>
      <c r="F51" s="199"/>
      <c r="G51" s="199"/>
      <c r="H51" s="199"/>
      <c r="I51" s="112"/>
      <c r="J51" s="112"/>
    </row>
    <row r="52" spans="1:10" ht="16.5" thickBot="1" x14ac:dyDescent="0.3">
      <c r="A52" s="76"/>
      <c r="B52" s="53"/>
      <c r="C52" s="53"/>
      <c r="D52" s="53"/>
      <c r="E52" s="53"/>
      <c r="F52" s="53"/>
      <c r="G52" s="53"/>
      <c r="H52" s="53"/>
      <c r="I52" s="112">
        <f t="shared" si="2"/>
        <v>0</v>
      </c>
      <c r="J52" s="112">
        <f t="shared" si="3"/>
        <v>0</v>
      </c>
    </row>
    <row r="53" spans="1:10" x14ac:dyDescent="0.25">
      <c r="A53" s="78" t="s">
        <v>43</v>
      </c>
      <c r="B53" s="97">
        <v>16400</v>
      </c>
      <c r="C53" s="43">
        <f t="shared" ref="C53:C54" si="43">B53/4</f>
        <v>4100</v>
      </c>
      <c r="D53" s="43">
        <f t="shared" ref="D53:F53" si="44">C53</f>
        <v>4100</v>
      </c>
      <c r="E53" s="43">
        <f t="shared" si="44"/>
        <v>4100</v>
      </c>
      <c r="F53" s="43">
        <f t="shared" si="44"/>
        <v>4100</v>
      </c>
      <c r="G53" s="43">
        <f t="shared" ref="G53:G56" si="45">SUM(C53:F53)</f>
        <v>16400</v>
      </c>
      <c r="H53" s="43">
        <f t="shared" ref="H53:H57" si="46">G53-B53</f>
        <v>0</v>
      </c>
      <c r="I53" s="112">
        <f t="shared" si="2"/>
        <v>8200</v>
      </c>
      <c r="J53" s="112">
        <f t="shared" si="3"/>
        <v>12300</v>
      </c>
    </row>
    <row r="54" spans="1:10" x14ac:dyDescent="0.25">
      <c r="A54" s="79" t="s">
        <v>44</v>
      </c>
      <c r="B54" s="96">
        <v>2500</v>
      </c>
      <c r="C54" s="43">
        <f t="shared" si="43"/>
        <v>625</v>
      </c>
      <c r="D54" s="43">
        <f t="shared" ref="D54:F54" si="47">C54</f>
        <v>625</v>
      </c>
      <c r="E54" s="43">
        <f t="shared" si="47"/>
        <v>625</v>
      </c>
      <c r="F54" s="43">
        <f t="shared" si="47"/>
        <v>625</v>
      </c>
      <c r="G54" s="43">
        <f t="shared" si="45"/>
        <v>2500</v>
      </c>
      <c r="H54" s="43">
        <f t="shared" si="46"/>
        <v>0</v>
      </c>
      <c r="I54" s="112">
        <f t="shared" si="2"/>
        <v>1250</v>
      </c>
      <c r="J54" s="112">
        <f t="shared" si="3"/>
        <v>1875</v>
      </c>
    </row>
    <row r="55" spans="1:10" x14ac:dyDescent="0.25">
      <c r="A55" s="80" t="s">
        <v>95</v>
      </c>
      <c r="B55" s="94">
        <v>47316</v>
      </c>
      <c r="C55" s="94">
        <f>B55</f>
        <v>47316</v>
      </c>
      <c r="D55" s="94">
        <f>C58</f>
        <v>42691</v>
      </c>
      <c r="E55" s="94">
        <f t="shared" ref="E55:F55" si="48">D58</f>
        <v>38066</v>
      </c>
      <c r="F55" s="94">
        <f t="shared" si="48"/>
        <v>33441</v>
      </c>
      <c r="G55" s="94">
        <f>B55</f>
        <v>47316</v>
      </c>
      <c r="H55" s="94"/>
      <c r="I55" s="112">
        <f>C55</f>
        <v>47316</v>
      </c>
      <c r="J55" s="112">
        <f>B55</f>
        <v>47316</v>
      </c>
    </row>
    <row r="56" spans="1:10" x14ac:dyDescent="0.25">
      <c r="A56" s="79" t="s">
        <v>20</v>
      </c>
      <c r="B56" s="71">
        <v>400</v>
      </c>
      <c r="C56" s="71">
        <v>100</v>
      </c>
      <c r="D56" s="71">
        <v>100</v>
      </c>
      <c r="E56" s="71">
        <v>100</v>
      </c>
      <c r="F56" s="71">
        <v>100</v>
      </c>
      <c r="G56" s="43">
        <f t="shared" si="45"/>
        <v>400</v>
      </c>
      <c r="H56" s="43">
        <f t="shared" si="46"/>
        <v>0</v>
      </c>
      <c r="I56" s="112">
        <f t="shared" si="2"/>
        <v>200</v>
      </c>
      <c r="J56" s="112">
        <f t="shared" si="3"/>
        <v>300</v>
      </c>
    </row>
    <row r="57" spans="1:10" x14ac:dyDescent="0.25">
      <c r="A57" s="81" t="s">
        <v>47</v>
      </c>
      <c r="B57" s="99">
        <f>-B44</f>
        <v>0</v>
      </c>
      <c r="C57" s="99"/>
      <c r="D57" s="99"/>
      <c r="E57" s="99"/>
      <c r="F57" s="99">
        <f>-F44</f>
        <v>0</v>
      </c>
      <c r="G57" s="99">
        <f>-G44</f>
        <v>0</v>
      </c>
      <c r="H57" s="43">
        <f t="shared" si="46"/>
        <v>0</v>
      </c>
      <c r="I57" s="112">
        <f t="shared" si="2"/>
        <v>0</v>
      </c>
      <c r="J57" s="112">
        <f t="shared" si="3"/>
        <v>0</v>
      </c>
    </row>
    <row r="58" spans="1:10" ht="16.5" thickBot="1" x14ac:dyDescent="0.3">
      <c r="A58" s="82" t="s">
        <v>110</v>
      </c>
      <c r="B58" s="50">
        <f>B55-B53-B54+B56+B57</f>
        <v>28816</v>
      </c>
      <c r="C58" s="50">
        <f t="shared" ref="C58:G58" si="49">C55-C53-C54+C56+C57</f>
        <v>42691</v>
      </c>
      <c r="D58" s="50">
        <f t="shared" si="49"/>
        <v>38066</v>
      </c>
      <c r="E58" s="50">
        <f t="shared" si="49"/>
        <v>33441</v>
      </c>
      <c r="F58" s="50">
        <f t="shared" si="49"/>
        <v>28816</v>
      </c>
      <c r="G58" s="50">
        <f t="shared" si="49"/>
        <v>28816</v>
      </c>
      <c r="H58" s="50"/>
      <c r="I58" s="112">
        <f>D58</f>
        <v>38066</v>
      </c>
      <c r="J58" s="112">
        <f>E58</f>
        <v>33441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6D58-3849-49E9-8509-0010BE852D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2017</vt:lpstr>
      <vt:lpstr>Q4</vt:lpstr>
      <vt:lpstr>Q3</vt:lpstr>
      <vt:lpstr>Q2</vt:lpstr>
      <vt:lpstr>Q1</vt:lpstr>
      <vt:lpstr>2020</vt:lpstr>
      <vt:lpstr>Qrtly</vt:lpstr>
      <vt:lpstr>Sheet1</vt:lpstr>
      <vt:lpstr>'2017'!Print_Area</vt:lpstr>
      <vt:lpstr>'Q1'!Print_Area</vt:lpstr>
      <vt:lpstr>Qrtly!Print_Area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St. Pauls Church</cp:lastModifiedBy>
  <cp:lastPrinted>2020-09-01T14:38:37Z</cp:lastPrinted>
  <dcterms:created xsi:type="dcterms:W3CDTF">2013-02-14T10:53:57Z</dcterms:created>
  <dcterms:modified xsi:type="dcterms:W3CDTF">2020-09-01T14:39:00Z</dcterms:modified>
</cp:coreProperties>
</file>